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HladkýMartin-INTOZAs\Desktop\MŠ Hrabinská\Hanka oprava\"/>
    </mc:Choice>
  </mc:AlternateContent>
  <xr:revisionPtr revIDLastSave="0" documentId="13_ncr:1_{3576AC0E-2D65-4F75-9A91-707CF9CE7F97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Krycí list rozpočtu" sheetId="1" r:id="rId1"/>
    <sheet name="Rozpočet - objekty" sheetId="2" r:id="rId2"/>
    <sheet name="Rozpočet - skupiny" sheetId="3" r:id="rId3"/>
    <sheet name="Rozpočet - podskupiny" sheetId="4" r:id="rId4"/>
    <sheet name="Stavební rozpočet" sheetId="5" r:id="rId5"/>
    <sheet name="Výkaz výměr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F2" i="1"/>
  <c r="C4" i="1"/>
  <c r="F4" i="1"/>
  <c r="C6" i="1"/>
  <c r="F6" i="1"/>
  <c r="C8" i="1"/>
  <c r="F8" i="1"/>
  <c r="C10" i="1"/>
  <c r="F10" i="1"/>
  <c r="I10" i="1"/>
  <c r="F22" i="1"/>
  <c r="I22" i="1"/>
  <c r="D2" i="2"/>
  <c r="H2" i="2"/>
  <c r="J2" i="2"/>
  <c r="D4" i="2"/>
  <c r="H4" i="2"/>
  <c r="J4" i="2"/>
  <c r="D6" i="2"/>
  <c r="H6" i="2"/>
  <c r="J6" i="2"/>
  <c r="D8" i="2"/>
  <c r="H8" i="2"/>
  <c r="J8" i="2"/>
  <c r="N12" i="2"/>
  <c r="N13" i="2"/>
  <c r="N14" i="2"/>
  <c r="N15" i="2"/>
  <c r="N16" i="2"/>
  <c r="N17" i="2"/>
  <c r="D2" i="4"/>
  <c r="H2" i="4"/>
  <c r="J2" i="4"/>
  <c r="D4" i="4"/>
  <c r="H4" i="4"/>
  <c r="J4" i="4"/>
  <c r="D6" i="4"/>
  <c r="H6" i="4"/>
  <c r="J6" i="4"/>
  <c r="D8" i="4"/>
  <c r="H8" i="4"/>
  <c r="J8" i="4"/>
  <c r="N12" i="4"/>
  <c r="P13" i="4"/>
  <c r="P14" i="4"/>
  <c r="P15" i="4"/>
  <c r="P16" i="4"/>
  <c r="P17" i="4"/>
  <c r="P18" i="4"/>
  <c r="P19" i="4"/>
  <c r="P20" i="4"/>
  <c r="P21" i="4"/>
  <c r="P22" i="4"/>
  <c r="P23" i="4"/>
  <c r="P24" i="4"/>
  <c r="N25" i="4"/>
  <c r="P26" i="4"/>
  <c r="P27" i="4"/>
  <c r="P28" i="4"/>
  <c r="P29" i="4"/>
  <c r="P30" i="4"/>
  <c r="P31" i="4"/>
  <c r="N32" i="4"/>
  <c r="P33" i="4"/>
  <c r="P34" i="4"/>
  <c r="P35" i="4"/>
  <c r="P36" i="4"/>
  <c r="P37" i="4"/>
  <c r="P38" i="4"/>
  <c r="N39" i="4"/>
  <c r="P40" i="4"/>
  <c r="P41" i="4"/>
  <c r="P42" i="4"/>
  <c r="P43" i="4"/>
  <c r="P44" i="4"/>
  <c r="P45" i="4"/>
  <c r="N46" i="4"/>
  <c r="P47" i="4"/>
  <c r="P48" i="4"/>
  <c r="P49" i="4"/>
  <c r="P50" i="4"/>
  <c r="P51" i="4"/>
  <c r="P52" i="4"/>
  <c r="N53" i="4"/>
  <c r="P54" i="4"/>
  <c r="P55" i="4"/>
  <c r="D2" i="3"/>
  <c r="H2" i="3"/>
  <c r="J2" i="3"/>
  <c r="D4" i="3"/>
  <c r="H4" i="3"/>
  <c r="J4" i="3"/>
  <c r="D6" i="3"/>
  <c r="H6" i="3"/>
  <c r="J6" i="3"/>
  <c r="D8" i="3"/>
  <c r="H8" i="3"/>
  <c r="J8" i="3"/>
  <c r="N12" i="3"/>
  <c r="P13" i="3"/>
  <c r="P14" i="3"/>
  <c r="P15" i="3"/>
  <c r="P16" i="3"/>
  <c r="P17" i="3"/>
  <c r="N18" i="3"/>
  <c r="P19" i="3"/>
  <c r="P20" i="3"/>
  <c r="P21" i="3"/>
  <c r="P22" i="3"/>
  <c r="P23" i="3"/>
  <c r="N24" i="3"/>
  <c r="P25" i="3"/>
  <c r="P26" i="3"/>
  <c r="P27" i="3"/>
  <c r="P28" i="3"/>
  <c r="P29" i="3"/>
  <c r="N30" i="3"/>
  <c r="P31" i="3"/>
  <c r="P32" i="3"/>
  <c r="P33" i="3"/>
  <c r="P34" i="3"/>
  <c r="P35" i="3"/>
  <c r="N36" i="3"/>
  <c r="P37" i="3"/>
  <c r="P38" i="3"/>
  <c r="P39" i="3"/>
  <c r="P40" i="3"/>
  <c r="P41" i="3"/>
  <c r="N42" i="3"/>
  <c r="P43" i="3"/>
  <c r="L14" i="5"/>
  <c r="AL14" i="5" s="1"/>
  <c r="Z14" i="5"/>
  <c r="AB14" i="5"/>
  <c r="AC14" i="5"/>
  <c r="AF14" i="5"/>
  <c r="AG14" i="5"/>
  <c r="AH14" i="5"/>
  <c r="AJ14" i="5"/>
  <c r="AK14" i="5"/>
  <c r="AO14" i="5"/>
  <c r="AW14" i="5" s="1"/>
  <c r="AP14" i="5"/>
  <c r="AX14" i="5" s="1"/>
  <c r="BD14" i="5"/>
  <c r="BF14" i="5"/>
  <c r="BH14" i="5"/>
  <c r="AD14" i="5" s="1"/>
  <c r="BJ14" i="5"/>
  <c r="L15" i="5"/>
  <c r="AL15" i="5" s="1"/>
  <c r="Z15" i="5"/>
  <c r="AB15" i="5"/>
  <c r="AC15" i="5"/>
  <c r="AF15" i="5"/>
  <c r="AG15" i="5"/>
  <c r="AH15" i="5"/>
  <c r="AJ15" i="5"/>
  <c r="AK15" i="5"/>
  <c r="AO15" i="5"/>
  <c r="AW15" i="5" s="1"/>
  <c r="AP15" i="5"/>
  <c r="AX15" i="5" s="1"/>
  <c r="BD15" i="5"/>
  <c r="BF15" i="5"/>
  <c r="BI15" i="5"/>
  <c r="AE15" i="5" s="1"/>
  <c r="BJ15" i="5"/>
  <c r="J16" i="5"/>
  <c r="L16" i="5"/>
  <c r="AB16" i="5"/>
  <c r="AC16" i="5"/>
  <c r="AD16" i="5"/>
  <c r="AE16" i="5"/>
  <c r="AF16" i="5"/>
  <c r="AG16" i="5"/>
  <c r="AH16" i="5"/>
  <c r="AJ16" i="5"/>
  <c r="AK16" i="5"/>
  <c r="AL16" i="5"/>
  <c r="AO16" i="5"/>
  <c r="AW16" i="5" s="1"/>
  <c r="AP16" i="5"/>
  <c r="AX16" i="5" s="1"/>
  <c r="BD16" i="5"/>
  <c r="BF16" i="5"/>
  <c r="BH16" i="5"/>
  <c r="BI16" i="5"/>
  <c r="BJ16" i="5"/>
  <c r="Z16" i="5" s="1"/>
  <c r="K18" i="5"/>
  <c r="L18" i="5"/>
  <c r="Z18" i="5"/>
  <c r="AD18" i="5"/>
  <c r="AE18" i="5"/>
  <c r="AF18" i="5"/>
  <c r="AG18" i="5"/>
  <c r="AH18" i="5"/>
  <c r="AJ18" i="5"/>
  <c r="AK18" i="5"/>
  <c r="AL18" i="5"/>
  <c r="AO18" i="5"/>
  <c r="AW18" i="5" s="1"/>
  <c r="AP18" i="5"/>
  <c r="AX18" i="5" s="1"/>
  <c r="BD18" i="5"/>
  <c r="BF18" i="5"/>
  <c r="BJ18" i="5"/>
  <c r="K19" i="5"/>
  <c r="L19" i="5"/>
  <c r="Z19" i="5"/>
  <c r="AD19" i="5"/>
  <c r="AE19" i="5"/>
  <c r="AF19" i="5"/>
  <c r="AG19" i="5"/>
  <c r="AH19" i="5"/>
  <c r="AJ19" i="5"/>
  <c r="AK19" i="5"/>
  <c r="AL19" i="5"/>
  <c r="AO19" i="5"/>
  <c r="J19" i="5" s="1"/>
  <c r="AP19" i="5"/>
  <c r="AW19" i="5"/>
  <c r="AV19" i="5" s="1"/>
  <c r="AX19" i="5"/>
  <c r="BD19" i="5"/>
  <c r="BF19" i="5"/>
  <c r="BH19" i="5"/>
  <c r="AB19" i="5" s="1"/>
  <c r="BI19" i="5"/>
  <c r="AC19" i="5" s="1"/>
  <c r="BJ19" i="5"/>
  <c r="L20" i="5"/>
  <c r="AL20" i="5" s="1"/>
  <c r="Z20" i="5"/>
  <c r="AD20" i="5"/>
  <c r="AE20" i="5"/>
  <c r="AF20" i="5"/>
  <c r="AG20" i="5"/>
  <c r="AH20" i="5"/>
  <c r="AJ20" i="5"/>
  <c r="AK20" i="5"/>
  <c r="AO20" i="5"/>
  <c r="J20" i="5" s="1"/>
  <c r="AP20" i="5"/>
  <c r="AX20" i="5" s="1"/>
  <c r="AW20" i="5"/>
  <c r="BD20" i="5"/>
  <c r="BF20" i="5"/>
  <c r="BH20" i="5"/>
  <c r="AB20" i="5" s="1"/>
  <c r="BI20" i="5"/>
  <c r="AC20" i="5" s="1"/>
  <c r="BJ20" i="5"/>
  <c r="L21" i="5"/>
  <c r="AL21" i="5" s="1"/>
  <c r="Z21" i="5"/>
  <c r="AD21" i="5"/>
  <c r="AE21" i="5"/>
  <c r="AF21" i="5"/>
  <c r="AG21" i="5"/>
  <c r="AH21" i="5"/>
  <c r="AJ21" i="5"/>
  <c r="AK21" i="5"/>
  <c r="AO21" i="5"/>
  <c r="J21" i="5" s="1"/>
  <c r="AP21" i="5"/>
  <c r="K21" i="5" s="1"/>
  <c r="AW21" i="5"/>
  <c r="AV21" i="5" s="1"/>
  <c r="AX21" i="5"/>
  <c r="BD21" i="5"/>
  <c r="BF21" i="5"/>
  <c r="BH21" i="5"/>
  <c r="AB21" i="5" s="1"/>
  <c r="BI21" i="5"/>
  <c r="AC21" i="5" s="1"/>
  <c r="BJ21" i="5"/>
  <c r="L23" i="5"/>
  <c r="L15" i="4" s="1"/>
  <c r="N15" i="4" s="1"/>
  <c r="AU23" i="5"/>
  <c r="J24" i="5"/>
  <c r="J23" i="5" s="1"/>
  <c r="J15" i="4" s="1"/>
  <c r="L24" i="5"/>
  <c r="Z24" i="5"/>
  <c r="AD24" i="5"/>
  <c r="AE24" i="5"/>
  <c r="AF24" i="5"/>
  <c r="AG24" i="5"/>
  <c r="AH24" i="5"/>
  <c r="AJ24" i="5"/>
  <c r="AS23" i="5" s="1"/>
  <c r="AK24" i="5"/>
  <c r="AT23" i="5" s="1"/>
  <c r="AL24" i="5"/>
  <c r="AO24" i="5"/>
  <c r="AW24" i="5" s="1"/>
  <c r="AP24" i="5"/>
  <c r="AX24" i="5" s="1"/>
  <c r="BD24" i="5"/>
  <c r="BF24" i="5"/>
  <c r="BI24" i="5"/>
  <c r="AC24" i="5" s="1"/>
  <c r="BJ24" i="5"/>
  <c r="L27" i="5"/>
  <c r="Z27" i="5"/>
  <c r="AD27" i="5"/>
  <c r="AE27" i="5"/>
  <c r="AF27" i="5"/>
  <c r="AG27" i="5"/>
  <c r="AH27" i="5"/>
  <c r="AJ27" i="5"/>
  <c r="AK27" i="5"/>
  <c r="AL27" i="5"/>
  <c r="AO27" i="5"/>
  <c r="AW27" i="5" s="1"/>
  <c r="AP27" i="5"/>
  <c r="AX27" i="5" s="1"/>
  <c r="BD27" i="5"/>
  <c r="BF27" i="5"/>
  <c r="BJ27" i="5"/>
  <c r="J29" i="5"/>
  <c r="L29" i="5"/>
  <c r="AL29" i="5" s="1"/>
  <c r="Z29" i="5"/>
  <c r="AD29" i="5"/>
  <c r="AE29" i="5"/>
  <c r="AF29" i="5"/>
  <c r="AG29" i="5"/>
  <c r="AH29" i="5"/>
  <c r="AJ29" i="5"/>
  <c r="AK29" i="5"/>
  <c r="AO29" i="5"/>
  <c r="AW29" i="5" s="1"/>
  <c r="AP29" i="5"/>
  <c r="AX29" i="5" s="1"/>
  <c r="BD29" i="5"/>
  <c r="BF29" i="5"/>
  <c r="BH29" i="5"/>
  <c r="AB29" i="5" s="1"/>
  <c r="BJ29" i="5"/>
  <c r="L30" i="5"/>
  <c r="AL30" i="5" s="1"/>
  <c r="Z30" i="5"/>
  <c r="AD30" i="5"/>
  <c r="AE30" i="5"/>
  <c r="AF30" i="5"/>
  <c r="AG30" i="5"/>
  <c r="AH30" i="5"/>
  <c r="AJ30" i="5"/>
  <c r="AK30" i="5"/>
  <c r="AO30" i="5"/>
  <c r="J30" i="5" s="1"/>
  <c r="AP30" i="5"/>
  <c r="BI30" i="5" s="1"/>
  <c r="AC30" i="5" s="1"/>
  <c r="BD30" i="5"/>
  <c r="BF30" i="5"/>
  <c r="BJ30" i="5"/>
  <c r="L31" i="5"/>
  <c r="AL31" i="5" s="1"/>
  <c r="Z31" i="5"/>
  <c r="AD31" i="5"/>
  <c r="AE31" i="5"/>
  <c r="AF31" i="5"/>
  <c r="AG31" i="5"/>
  <c r="AH31" i="5"/>
  <c r="AJ31" i="5"/>
  <c r="AK31" i="5"/>
  <c r="AO31" i="5"/>
  <c r="AW31" i="5" s="1"/>
  <c r="AP31" i="5"/>
  <c r="AX31" i="5" s="1"/>
  <c r="BD31" i="5"/>
  <c r="BF31" i="5"/>
  <c r="BH31" i="5"/>
  <c r="AB31" i="5" s="1"/>
  <c r="BI31" i="5"/>
  <c r="AC31" i="5" s="1"/>
  <c r="BJ31" i="5"/>
  <c r="L33" i="5"/>
  <c r="Z33" i="5"/>
  <c r="AB33" i="5"/>
  <c r="AD33" i="5"/>
  <c r="AE33" i="5"/>
  <c r="AF33" i="5"/>
  <c r="AG33" i="5"/>
  <c r="AH33" i="5"/>
  <c r="AJ33" i="5"/>
  <c r="AK33" i="5"/>
  <c r="AL33" i="5"/>
  <c r="AO33" i="5"/>
  <c r="AW33" i="5" s="1"/>
  <c r="AP33" i="5"/>
  <c r="AX33" i="5" s="1"/>
  <c r="BD33" i="5"/>
  <c r="BF33" i="5"/>
  <c r="BH33" i="5"/>
  <c r="BI33" i="5"/>
  <c r="AC33" i="5" s="1"/>
  <c r="BJ33" i="5"/>
  <c r="K34" i="5"/>
  <c r="L34" i="5"/>
  <c r="AL34" i="5" s="1"/>
  <c r="Z34" i="5"/>
  <c r="AD34" i="5"/>
  <c r="AE34" i="5"/>
  <c r="AF34" i="5"/>
  <c r="AG34" i="5"/>
  <c r="AH34" i="5"/>
  <c r="AJ34" i="5"/>
  <c r="AK34" i="5"/>
  <c r="AO34" i="5"/>
  <c r="J34" i="5" s="1"/>
  <c r="AP34" i="5"/>
  <c r="AX34" i="5"/>
  <c r="BD34" i="5"/>
  <c r="BF34" i="5"/>
  <c r="BI34" i="5"/>
  <c r="AC34" i="5" s="1"/>
  <c r="BJ34" i="5"/>
  <c r="J35" i="5"/>
  <c r="L35" i="5"/>
  <c r="Z35" i="5"/>
  <c r="AB35" i="5"/>
  <c r="AD35" i="5"/>
  <c r="AE35" i="5"/>
  <c r="AF35" i="5"/>
  <c r="AG35" i="5"/>
  <c r="AH35" i="5"/>
  <c r="AJ35" i="5"/>
  <c r="AK35" i="5"/>
  <c r="AL35" i="5"/>
  <c r="AO35" i="5"/>
  <c r="AP35" i="5"/>
  <c r="AX35" i="5" s="1"/>
  <c r="AW35" i="5"/>
  <c r="BD35" i="5"/>
  <c r="BF35" i="5"/>
  <c r="BH35" i="5"/>
  <c r="BI35" i="5"/>
  <c r="AC35" i="5" s="1"/>
  <c r="BJ35" i="5"/>
  <c r="L37" i="5"/>
  <c r="AL37" i="5" s="1"/>
  <c r="AU36" i="5" s="1"/>
  <c r="Z37" i="5"/>
  <c r="AC37" i="5"/>
  <c r="AD37" i="5"/>
  <c r="AE37" i="5"/>
  <c r="AF37" i="5"/>
  <c r="AG37" i="5"/>
  <c r="AH37" i="5"/>
  <c r="AJ37" i="5"/>
  <c r="AS36" i="5" s="1"/>
  <c r="AK37" i="5"/>
  <c r="AT36" i="5" s="1"/>
  <c r="AO37" i="5"/>
  <c r="AW37" i="5" s="1"/>
  <c r="AP37" i="5"/>
  <c r="K37" i="5" s="1"/>
  <c r="K36" i="5" s="1"/>
  <c r="K17" i="4" s="1"/>
  <c r="BD37" i="5"/>
  <c r="BF37" i="5"/>
  <c r="BI37" i="5"/>
  <c r="BJ37" i="5"/>
  <c r="AT39" i="5"/>
  <c r="L40" i="5"/>
  <c r="AL40" i="5" s="1"/>
  <c r="AU39" i="5" s="1"/>
  <c r="Z40" i="5"/>
  <c r="AD40" i="5"/>
  <c r="AE40" i="5"/>
  <c r="AF40" i="5"/>
  <c r="AG40" i="5"/>
  <c r="AH40" i="5"/>
  <c r="AJ40" i="5"/>
  <c r="AS39" i="5" s="1"/>
  <c r="AK40" i="5"/>
  <c r="AO40" i="5"/>
  <c r="AW40" i="5" s="1"/>
  <c r="AP40" i="5"/>
  <c r="AX40" i="5" s="1"/>
  <c r="BD40" i="5"/>
  <c r="BF40" i="5"/>
  <c r="BH40" i="5"/>
  <c r="AB40" i="5" s="1"/>
  <c r="BI40" i="5"/>
  <c r="AC40" i="5" s="1"/>
  <c r="BJ40" i="5"/>
  <c r="K42" i="5"/>
  <c r="K41" i="5" s="1"/>
  <c r="K19" i="4" s="1"/>
  <c r="L42" i="5"/>
  <c r="AL42" i="5" s="1"/>
  <c r="AU41" i="5" s="1"/>
  <c r="Z42" i="5"/>
  <c r="AD42" i="5"/>
  <c r="AE42" i="5"/>
  <c r="AF42" i="5"/>
  <c r="AG42" i="5"/>
  <c r="AH42" i="5"/>
  <c r="AJ42" i="5"/>
  <c r="AS41" i="5" s="1"/>
  <c r="AK42" i="5"/>
  <c r="AT41" i="5" s="1"/>
  <c r="AO42" i="5"/>
  <c r="BH42" i="5" s="1"/>
  <c r="AB42" i="5" s="1"/>
  <c r="AP42" i="5"/>
  <c r="BI42" i="5" s="1"/>
  <c r="AC42" i="5" s="1"/>
  <c r="BD42" i="5"/>
  <c r="BF42" i="5"/>
  <c r="BJ42" i="5"/>
  <c r="L44" i="5"/>
  <c r="AL44" i="5" s="1"/>
  <c r="Z44" i="5"/>
  <c r="AB44" i="5"/>
  <c r="AC44" i="5"/>
  <c r="AF44" i="5"/>
  <c r="AG44" i="5"/>
  <c r="AH44" i="5"/>
  <c r="AJ44" i="5"/>
  <c r="AS43" i="5" s="1"/>
  <c r="AK44" i="5"/>
  <c r="AT43" i="5" s="1"/>
  <c r="AO44" i="5"/>
  <c r="BH44" i="5" s="1"/>
  <c r="AD44" i="5" s="1"/>
  <c r="AP44" i="5"/>
  <c r="BI44" i="5" s="1"/>
  <c r="AE44" i="5" s="1"/>
  <c r="BD44" i="5"/>
  <c r="BF44" i="5"/>
  <c r="BJ44" i="5"/>
  <c r="L45" i="5"/>
  <c r="AL45" i="5" s="1"/>
  <c r="AB45" i="5"/>
  <c r="AC45" i="5"/>
  <c r="AD45" i="5"/>
  <c r="AE45" i="5"/>
  <c r="AF45" i="5"/>
  <c r="AG45" i="5"/>
  <c r="AH45" i="5"/>
  <c r="AJ45" i="5"/>
  <c r="AK45" i="5"/>
  <c r="AO45" i="5"/>
  <c r="AW45" i="5" s="1"/>
  <c r="AP45" i="5"/>
  <c r="AX45" i="5" s="1"/>
  <c r="BD45" i="5"/>
  <c r="BF45" i="5"/>
  <c r="BI45" i="5"/>
  <c r="BJ45" i="5"/>
  <c r="Z45" i="5" s="1"/>
  <c r="AS46" i="5"/>
  <c r="L47" i="5"/>
  <c r="AL47" i="5" s="1"/>
  <c r="AU46" i="5" s="1"/>
  <c r="Z47" i="5"/>
  <c r="AD47" i="5"/>
  <c r="AE47" i="5"/>
  <c r="AF47" i="5"/>
  <c r="AG47" i="5"/>
  <c r="AH47" i="5"/>
  <c r="AJ47" i="5"/>
  <c r="AK47" i="5"/>
  <c r="AT46" i="5" s="1"/>
  <c r="AO47" i="5"/>
  <c r="AW47" i="5" s="1"/>
  <c r="AP47" i="5"/>
  <c r="AX47" i="5" s="1"/>
  <c r="BD47" i="5"/>
  <c r="BF47" i="5"/>
  <c r="BJ47" i="5"/>
  <c r="L49" i="5"/>
  <c r="AL49" i="5" s="1"/>
  <c r="Z49" i="5"/>
  <c r="AB49" i="5"/>
  <c r="AD49" i="5"/>
  <c r="AE49" i="5"/>
  <c r="AF49" i="5"/>
  <c r="AG49" i="5"/>
  <c r="AH49" i="5"/>
  <c r="AJ49" i="5"/>
  <c r="AK49" i="5"/>
  <c r="AO49" i="5"/>
  <c r="AW49" i="5" s="1"/>
  <c r="AP49" i="5"/>
  <c r="K49" i="5" s="1"/>
  <c r="AX49" i="5"/>
  <c r="BD49" i="5"/>
  <c r="BF49" i="5"/>
  <c r="BH49" i="5"/>
  <c r="BI49" i="5"/>
  <c r="AC49" i="5" s="1"/>
  <c r="BJ49" i="5"/>
  <c r="K50" i="5"/>
  <c r="L50" i="5"/>
  <c r="AL50" i="5" s="1"/>
  <c r="Z50" i="5"/>
  <c r="AD50" i="5"/>
  <c r="AE50" i="5"/>
  <c r="AF50" i="5"/>
  <c r="AG50" i="5"/>
  <c r="AH50" i="5"/>
  <c r="AJ50" i="5"/>
  <c r="AK50" i="5"/>
  <c r="AO50" i="5"/>
  <c r="J50" i="5" s="1"/>
  <c r="AP50" i="5"/>
  <c r="AW50" i="5"/>
  <c r="BC50" i="5" s="1"/>
  <c r="AX50" i="5"/>
  <c r="BD50" i="5"/>
  <c r="BF50" i="5"/>
  <c r="BH50" i="5"/>
  <c r="AB50" i="5" s="1"/>
  <c r="BI50" i="5"/>
  <c r="AC50" i="5" s="1"/>
  <c r="BJ50" i="5"/>
  <c r="L51" i="5"/>
  <c r="AL51" i="5" s="1"/>
  <c r="Z51" i="5"/>
  <c r="AD51" i="5"/>
  <c r="AE51" i="5"/>
  <c r="AF51" i="5"/>
  <c r="AG51" i="5"/>
  <c r="AH51" i="5"/>
  <c r="AJ51" i="5"/>
  <c r="AK51" i="5"/>
  <c r="AO51" i="5"/>
  <c r="J51" i="5" s="1"/>
  <c r="AP51" i="5"/>
  <c r="AX51" i="5" s="1"/>
  <c r="AW51" i="5"/>
  <c r="BD51" i="5"/>
  <c r="BF51" i="5"/>
  <c r="BI51" i="5"/>
  <c r="AC51" i="5" s="1"/>
  <c r="BJ51" i="5"/>
  <c r="L52" i="5"/>
  <c r="AL52" i="5" s="1"/>
  <c r="Z52" i="5"/>
  <c r="AD52" i="5"/>
  <c r="AE52" i="5"/>
  <c r="AF52" i="5"/>
  <c r="AG52" i="5"/>
  <c r="AH52" i="5"/>
  <c r="AJ52" i="5"/>
  <c r="AK52" i="5"/>
  <c r="AO52" i="5"/>
  <c r="J52" i="5" s="1"/>
  <c r="AP52" i="5"/>
  <c r="AX52" i="5" s="1"/>
  <c r="AV52" i="5" s="1"/>
  <c r="AW52" i="5"/>
  <c r="BD52" i="5"/>
  <c r="BF52" i="5"/>
  <c r="BH52" i="5"/>
  <c r="AB52" i="5" s="1"/>
  <c r="BJ52" i="5"/>
  <c r="L53" i="5"/>
  <c r="AL53" i="5" s="1"/>
  <c r="Z53" i="5"/>
  <c r="AD53" i="5"/>
  <c r="AE53" i="5"/>
  <c r="AF53" i="5"/>
  <c r="AG53" i="5"/>
  <c r="AH53" i="5"/>
  <c r="AJ53" i="5"/>
  <c r="AK53" i="5"/>
  <c r="AO53" i="5"/>
  <c r="AW53" i="5" s="1"/>
  <c r="AP53" i="5"/>
  <c r="AX53" i="5" s="1"/>
  <c r="BD53" i="5"/>
  <c r="BF53" i="5"/>
  <c r="BJ53" i="5"/>
  <c r="L54" i="5"/>
  <c r="L23" i="4" s="1"/>
  <c r="N23" i="4" s="1"/>
  <c r="L55" i="5"/>
  <c r="AL55" i="5" s="1"/>
  <c r="AU54" i="5" s="1"/>
  <c r="AB55" i="5"/>
  <c r="AC55" i="5"/>
  <c r="AD55" i="5"/>
  <c r="AE55" i="5"/>
  <c r="AF55" i="5"/>
  <c r="AG55" i="5"/>
  <c r="AH55" i="5"/>
  <c r="AJ55" i="5"/>
  <c r="AS54" i="5" s="1"/>
  <c r="AK55" i="5"/>
  <c r="AT54" i="5" s="1"/>
  <c r="AO55" i="5"/>
  <c r="J55" i="5" s="1"/>
  <c r="J54" i="5" s="1"/>
  <c r="J23" i="4" s="1"/>
  <c r="AP55" i="5"/>
  <c r="AX55" i="5" s="1"/>
  <c r="AW55" i="5"/>
  <c r="BD55" i="5"/>
  <c r="BF55" i="5"/>
  <c r="BH55" i="5"/>
  <c r="BJ55" i="5"/>
  <c r="Z55" i="5" s="1"/>
  <c r="K57" i="5"/>
  <c r="L57" i="5"/>
  <c r="AL57" i="5" s="1"/>
  <c r="AB57" i="5"/>
  <c r="AC57" i="5"/>
  <c r="AD57" i="5"/>
  <c r="AE57" i="5"/>
  <c r="AF57" i="5"/>
  <c r="AG57" i="5"/>
  <c r="AH57" i="5"/>
  <c r="AJ57" i="5"/>
  <c r="AK57" i="5"/>
  <c r="AO57" i="5"/>
  <c r="AW57" i="5" s="1"/>
  <c r="AP57" i="5"/>
  <c r="AX57" i="5" s="1"/>
  <c r="BD57" i="5"/>
  <c r="BF57" i="5"/>
  <c r="BH57" i="5"/>
  <c r="BJ57" i="5"/>
  <c r="Z57" i="5" s="1"/>
  <c r="L58" i="5"/>
  <c r="AL58" i="5" s="1"/>
  <c r="AB58" i="5"/>
  <c r="AC58" i="5"/>
  <c r="AD58" i="5"/>
  <c r="AE58" i="5"/>
  <c r="AF58" i="5"/>
  <c r="AG58" i="5"/>
  <c r="AH58" i="5"/>
  <c r="AJ58" i="5"/>
  <c r="AK58" i="5"/>
  <c r="AO58" i="5"/>
  <c r="AW58" i="5" s="1"/>
  <c r="AP58" i="5"/>
  <c r="K58" i="5" s="1"/>
  <c r="BD58" i="5"/>
  <c r="BF58" i="5"/>
  <c r="BI58" i="5"/>
  <c r="BJ58" i="5"/>
  <c r="Z58" i="5" s="1"/>
  <c r="L59" i="5"/>
  <c r="AL59" i="5" s="1"/>
  <c r="AB59" i="5"/>
  <c r="AC59" i="5"/>
  <c r="AD59" i="5"/>
  <c r="AE59" i="5"/>
  <c r="AF59" i="5"/>
  <c r="AG59" i="5"/>
  <c r="AH59" i="5"/>
  <c r="AJ59" i="5"/>
  <c r="AK59" i="5"/>
  <c r="AO59" i="5"/>
  <c r="AW59" i="5" s="1"/>
  <c r="AP59" i="5"/>
  <c r="BI59" i="5" s="1"/>
  <c r="BD59" i="5"/>
  <c r="BF59" i="5"/>
  <c r="BJ59" i="5"/>
  <c r="Z59" i="5" s="1"/>
  <c r="L60" i="5"/>
  <c r="AL60" i="5" s="1"/>
  <c r="AB60" i="5"/>
  <c r="AC60" i="5"/>
  <c r="AD60" i="5"/>
  <c r="AE60" i="5"/>
  <c r="AF60" i="5"/>
  <c r="AG60" i="5"/>
  <c r="AH60" i="5"/>
  <c r="AJ60" i="5"/>
  <c r="AK60" i="5"/>
  <c r="AO60" i="5"/>
  <c r="AW60" i="5" s="1"/>
  <c r="AP60" i="5"/>
  <c r="AX60" i="5" s="1"/>
  <c r="BD60" i="5"/>
  <c r="BF60" i="5"/>
  <c r="BJ60" i="5"/>
  <c r="Z60" i="5" s="1"/>
  <c r="L61" i="5"/>
  <c r="AL61" i="5" s="1"/>
  <c r="Z61" i="5"/>
  <c r="AB61" i="5"/>
  <c r="AC61" i="5"/>
  <c r="AD61" i="5"/>
  <c r="AE61" i="5"/>
  <c r="AF61" i="5"/>
  <c r="AG61" i="5"/>
  <c r="AH61" i="5"/>
  <c r="AJ61" i="5"/>
  <c r="AK61" i="5"/>
  <c r="AO61" i="5"/>
  <c r="AW61" i="5" s="1"/>
  <c r="AP61" i="5"/>
  <c r="K61" i="5" s="1"/>
  <c r="AX61" i="5"/>
  <c r="BD61" i="5"/>
  <c r="BF61" i="5"/>
  <c r="BH61" i="5"/>
  <c r="BI61" i="5"/>
  <c r="BJ61" i="5"/>
  <c r="L62" i="5"/>
  <c r="AL62" i="5" s="1"/>
  <c r="AB62" i="5"/>
  <c r="AC62" i="5"/>
  <c r="AD62" i="5"/>
  <c r="AE62" i="5"/>
  <c r="AF62" i="5"/>
  <c r="AG62" i="5"/>
  <c r="AH62" i="5"/>
  <c r="AJ62" i="5"/>
  <c r="AK62" i="5"/>
  <c r="AO62" i="5"/>
  <c r="AW62" i="5" s="1"/>
  <c r="AP62" i="5"/>
  <c r="K62" i="5" s="1"/>
  <c r="BD62" i="5"/>
  <c r="BF62" i="5"/>
  <c r="BH62" i="5"/>
  <c r="BJ62" i="5"/>
  <c r="Z62" i="5" s="1"/>
  <c r="L65" i="5"/>
  <c r="AL65" i="5" s="1"/>
  <c r="Z65" i="5"/>
  <c r="AB65" i="5"/>
  <c r="AC65" i="5"/>
  <c r="AF65" i="5"/>
  <c r="AG65" i="5"/>
  <c r="AH65" i="5"/>
  <c r="AJ65" i="5"/>
  <c r="AK65" i="5"/>
  <c r="AO65" i="5"/>
  <c r="J65" i="5" s="1"/>
  <c r="AP65" i="5"/>
  <c r="K65" i="5" s="1"/>
  <c r="BD65" i="5"/>
  <c r="BF65" i="5"/>
  <c r="BI65" i="5"/>
  <c r="AE65" i="5" s="1"/>
  <c r="BJ65" i="5"/>
  <c r="L67" i="5"/>
  <c r="AL67" i="5" s="1"/>
  <c r="Z67" i="5"/>
  <c r="AB67" i="5"/>
  <c r="AC67" i="5"/>
  <c r="AF67" i="5"/>
  <c r="AG67" i="5"/>
  <c r="AH67" i="5"/>
  <c r="AJ67" i="5"/>
  <c r="AK67" i="5"/>
  <c r="AO67" i="5"/>
  <c r="J67" i="5" s="1"/>
  <c r="AP67" i="5"/>
  <c r="K67" i="5" s="1"/>
  <c r="BD67" i="5"/>
  <c r="BF67" i="5"/>
  <c r="BH67" i="5"/>
  <c r="AD67" i="5" s="1"/>
  <c r="BJ67" i="5"/>
  <c r="L69" i="5"/>
  <c r="AL69" i="5" s="1"/>
  <c r="Z69" i="5"/>
  <c r="AB69" i="5"/>
  <c r="AC69" i="5"/>
  <c r="AF69" i="5"/>
  <c r="AG69" i="5"/>
  <c r="AH69" i="5"/>
  <c r="AJ69" i="5"/>
  <c r="AK69" i="5"/>
  <c r="AO69" i="5"/>
  <c r="J69" i="5" s="1"/>
  <c r="AP69" i="5"/>
  <c r="K69" i="5" s="1"/>
  <c r="BD69" i="5"/>
  <c r="BF69" i="5"/>
  <c r="BJ69" i="5"/>
  <c r="L72" i="5"/>
  <c r="AL72" i="5" s="1"/>
  <c r="Z72" i="5"/>
  <c r="AB72" i="5"/>
  <c r="AC72" i="5"/>
  <c r="AF72" i="5"/>
  <c r="AG72" i="5"/>
  <c r="AH72" i="5"/>
  <c r="AJ72" i="5"/>
  <c r="AK72" i="5"/>
  <c r="AO72" i="5"/>
  <c r="AW72" i="5" s="1"/>
  <c r="AP72" i="5"/>
  <c r="K72" i="5" s="1"/>
  <c r="BD72" i="5"/>
  <c r="BF72" i="5"/>
  <c r="BI72" i="5"/>
  <c r="AE72" i="5" s="1"/>
  <c r="BJ72" i="5"/>
  <c r="L74" i="5"/>
  <c r="AL74" i="5" s="1"/>
  <c r="Z74" i="5"/>
  <c r="AB74" i="5"/>
  <c r="AC74" i="5"/>
  <c r="AF74" i="5"/>
  <c r="AG74" i="5"/>
  <c r="AH74" i="5"/>
  <c r="AJ74" i="5"/>
  <c r="AK74" i="5"/>
  <c r="AO74" i="5"/>
  <c r="AW74" i="5" s="1"/>
  <c r="AP74" i="5"/>
  <c r="K74" i="5" s="1"/>
  <c r="BD74" i="5"/>
  <c r="BF74" i="5"/>
  <c r="BI74" i="5"/>
  <c r="AE74" i="5" s="1"/>
  <c r="BJ74" i="5"/>
  <c r="L76" i="5"/>
  <c r="AL76" i="5" s="1"/>
  <c r="Z76" i="5"/>
  <c r="AB76" i="5"/>
  <c r="AC76" i="5"/>
  <c r="AF76" i="5"/>
  <c r="AG76" i="5"/>
  <c r="AH76" i="5"/>
  <c r="AJ76" i="5"/>
  <c r="AK76" i="5"/>
  <c r="AO76" i="5"/>
  <c r="AW76" i="5" s="1"/>
  <c r="AP76" i="5"/>
  <c r="AX76" i="5" s="1"/>
  <c r="BD76" i="5"/>
  <c r="BF76" i="5"/>
  <c r="BH76" i="5"/>
  <c r="AD76" i="5" s="1"/>
  <c r="BJ76" i="5"/>
  <c r="L78" i="5"/>
  <c r="AL78" i="5" s="1"/>
  <c r="Z78" i="5"/>
  <c r="AB78" i="5"/>
  <c r="AC78" i="5"/>
  <c r="AF78" i="5"/>
  <c r="AG78" i="5"/>
  <c r="AH78" i="5"/>
  <c r="AJ78" i="5"/>
  <c r="AK78" i="5"/>
  <c r="AO78" i="5"/>
  <c r="AW78" i="5" s="1"/>
  <c r="AP78" i="5"/>
  <c r="K78" i="5" s="1"/>
  <c r="AX78" i="5"/>
  <c r="BD78" i="5"/>
  <c r="BF78" i="5"/>
  <c r="BH78" i="5"/>
  <c r="AD78" i="5" s="1"/>
  <c r="BI78" i="5"/>
  <c r="AE78" i="5" s="1"/>
  <c r="BJ78" i="5"/>
  <c r="L80" i="5"/>
  <c r="AL80" i="5" s="1"/>
  <c r="Z80" i="5"/>
  <c r="AB80" i="5"/>
  <c r="AC80" i="5"/>
  <c r="AF80" i="5"/>
  <c r="AG80" i="5"/>
  <c r="AH80" i="5"/>
  <c r="AJ80" i="5"/>
  <c r="AK80" i="5"/>
  <c r="AO80" i="5"/>
  <c r="J80" i="5" s="1"/>
  <c r="AP80" i="5"/>
  <c r="K80" i="5" s="1"/>
  <c r="BD80" i="5"/>
  <c r="BF80" i="5"/>
  <c r="BI80" i="5"/>
  <c r="AE80" i="5" s="1"/>
  <c r="BJ80" i="5"/>
  <c r="L83" i="5"/>
  <c r="Z83" i="5"/>
  <c r="AB83" i="5"/>
  <c r="AC83" i="5"/>
  <c r="AF83" i="5"/>
  <c r="AG83" i="5"/>
  <c r="AH83" i="5"/>
  <c r="AJ83" i="5"/>
  <c r="AK83" i="5"/>
  <c r="AO83" i="5"/>
  <c r="AW83" i="5" s="1"/>
  <c r="AP83" i="5"/>
  <c r="K83" i="5" s="1"/>
  <c r="AX83" i="5"/>
  <c r="BD83" i="5"/>
  <c r="BF83" i="5"/>
  <c r="BI83" i="5"/>
  <c r="AE83" i="5" s="1"/>
  <c r="BJ83" i="5"/>
  <c r="L85" i="5"/>
  <c r="Z85" i="5"/>
  <c r="AB85" i="5"/>
  <c r="AC85" i="5"/>
  <c r="AF85" i="5"/>
  <c r="AG85" i="5"/>
  <c r="AH85" i="5"/>
  <c r="AJ85" i="5"/>
  <c r="AK85" i="5"/>
  <c r="AL85" i="5"/>
  <c r="AO85" i="5"/>
  <c r="AW85" i="5" s="1"/>
  <c r="AP85" i="5"/>
  <c r="K85" i="5" s="1"/>
  <c r="BD85" i="5"/>
  <c r="BF85" i="5"/>
  <c r="BJ85" i="5"/>
  <c r="J87" i="5"/>
  <c r="L87" i="5"/>
  <c r="AL87" i="5" s="1"/>
  <c r="Z87" i="5"/>
  <c r="AB87" i="5"/>
  <c r="AC87" i="5"/>
  <c r="AF87" i="5"/>
  <c r="AG87" i="5"/>
  <c r="AH87" i="5"/>
  <c r="AJ87" i="5"/>
  <c r="AK87" i="5"/>
  <c r="AO87" i="5"/>
  <c r="AW87" i="5" s="1"/>
  <c r="AP87" i="5"/>
  <c r="AX87" i="5" s="1"/>
  <c r="BD87" i="5"/>
  <c r="BF87" i="5"/>
  <c r="BH87" i="5"/>
  <c r="AD87" i="5" s="1"/>
  <c r="BJ87" i="5"/>
  <c r="L89" i="5"/>
  <c r="AL89" i="5" s="1"/>
  <c r="Z89" i="5"/>
  <c r="AB89" i="5"/>
  <c r="AC89" i="5"/>
  <c r="AF89" i="5"/>
  <c r="AG89" i="5"/>
  <c r="AH89" i="5"/>
  <c r="AJ89" i="5"/>
  <c r="AK89" i="5"/>
  <c r="AO89" i="5"/>
  <c r="AW89" i="5" s="1"/>
  <c r="AP89" i="5"/>
  <c r="BI89" i="5" s="1"/>
  <c r="AE89" i="5" s="1"/>
  <c r="BD89" i="5"/>
  <c r="BF89" i="5"/>
  <c r="BH89" i="5"/>
  <c r="AD89" i="5" s="1"/>
  <c r="BJ89" i="5"/>
  <c r="J91" i="5"/>
  <c r="L91" i="5"/>
  <c r="Z91" i="5"/>
  <c r="AB91" i="5"/>
  <c r="AC91" i="5"/>
  <c r="AF91" i="5"/>
  <c r="AG91" i="5"/>
  <c r="AH91" i="5"/>
  <c r="AJ91" i="5"/>
  <c r="AK91" i="5"/>
  <c r="AL91" i="5"/>
  <c r="AO91" i="5"/>
  <c r="AP91" i="5"/>
  <c r="AX91" i="5" s="1"/>
  <c r="BC91" i="5" s="1"/>
  <c r="AW91" i="5"/>
  <c r="BD91" i="5"/>
  <c r="BF91" i="5"/>
  <c r="BH91" i="5"/>
  <c r="AD91" i="5" s="1"/>
  <c r="BJ91" i="5"/>
  <c r="L94" i="5"/>
  <c r="AL94" i="5" s="1"/>
  <c r="Z94" i="5"/>
  <c r="AB94" i="5"/>
  <c r="AC94" i="5"/>
  <c r="AF94" i="5"/>
  <c r="AG94" i="5"/>
  <c r="AH94" i="5"/>
  <c r="AJ94" i="5"/>
  <c r="AK94" i="5"/>
  <c r="AO94" i="5"/>
  <c r="AW94" i="5" s="1"/>
  <c r="AP94" i="5"/>
  <c r="AX94" i="5" s="1"/>
  <c r="BD94" i="5"/>
  <c r="BF94" i="5"/>
  <c r="BJ94" i="5"/>
  <c r="L96" i="5"/>
  <c r="AL96" i="5" s="1"/>
  <c r="Z96" i="5"/>
  <c r="AB96" i="5"/>
  <c r="AC96" i="5"/>
  <c r="AF96" i="5"/>
  <c r="AG96" i="5"/>
  <c r="AH96" i="5"/>
  <c r="AJ96" i="5"/>
  <c r="AK96" i="5"/>
  <c r="AO96" i="5"/>
  <c r="AW96" i="5" s="1"/>
  <c r="AP96" i="5"/>
  <c r="AX96" i="5" s="1"/>
  <c r="BD96" i="5"/>
  <c r="BF96" i="5"/>
  <c r="BJ96" i="5"/>
  <c r="L98" i="5"/>
  <c r="Z98" i="5"/>
  <c r="AB98" i="5"/>
  <c r="AC98" i="5"/>
  <c r="AF98" i="5"/>
  <c r="AG98" i="5"/>
  <c r="AH98" i="5"/>
  <c r="AJ98" i="5"/>
  <c r="AK98" i="5"/>
  <c r="AL98" i="5"/>
  <c r="AO98" i="5"/>
  <c r="AW98" i="5" s="1"/>
  <c r="AP98" i="5"/>
  <c r="AX98" i="5" s="1"/>
  <c r="BD98" i="5"/>
  <c r="BF98" i="5"/>
  <c r="BH98" i="5"/>
  <c r="AD98" i="5" s="1"/>
  <c r="BJ98" i="5"/>
  <c r="J100" i="5"/>
  <c r="L100" i="5"/>
  <c r="Z100" i="5"/>
  <c r="AB100" i="5"/>
  <c r="AC100" i="5"/>
  <c r="AF100" i="5"/>
  <c r="AG100" i="5"/>
  <c r="AH100" i="5"/>
  <c r="AJ100" i="5"/>
  <c r="AK100" i="5"/>
  <c r="AL100" i="5"/>
  <c r="AO100" i="5"/>
  <c r="AW100" i="5" s="1"/>
  <c r="AP100" i="5"/>
  <c r="AX100" i="5" s="1"/>
  <c r="BD100" i="5"/>
  <c r="BF100" i="5"/>
  <c r="BH100" i="5"/>
  <c r="AD100" i="5" s="1"/>
  <c r="BJ100" i="5"/>
  <c r="J102" i="5"/>
  <c r="K102" i="5"/>
  <c r="L102" i="5"/>
  <c r="AL102" i="5" s="1"/>
  <c r="Z102" i="5"/>
  <c r="AB102" i="5"/>
  <c r="AC102" i="5"/>
  <c r="AF102" i="5"/>
  <c r="AG102" i="5"/>
  <c r="AH102" i="5"/>
  <c r="AJ102" i="5"/>
  <c r="AK102" i="5"/>
  <c r="AO102" i="5"/>
  <c r="AP102" i="5"/>
  <c r="BI102" i="5" s="1"/>
  <c r="AE102" i="5" s="1"/>
  <c r="AW102" i="5"/>
  <c r="BD102" i="5"/>
  <c r="BF102" i="5"/>
  <c r="BH102" i="5"/>
  <c r="AD102" i="5" s="1"/>
  <c r="BJ102" i="5"/>
  <c r="L104" i="5"/>
  <c r="AL104" i="5" s="1"/>
  <c r="Z104" i="5"/>
  <c r="AB104" i="5"/>
  <c r="AC104" i="5"/>
  <c r="AF104" i="5"/>
  <c r="AG104" i="5"/>
  <c r="AH104" i="5"/>
  <c r="AJ104" i="5"/>
  <c r="AK104" i="5"/>
  <c r="AO104" i="5"/>
  <c r="AW104" i="5" s="1"/>
  <c r="AP104" i="5"/>
  <c r="AX104" i="5" s="1"/>
  <c r="BD104" i="5"/>
  <c r="BF104" i="5"/>
  <c r="BI104" i="5"/>
  <c r="AE104" i="5" s="1"/>
  <c r="BJ104" i="5"/>
  <c r="L106" i="5"/>
  <c r="AL106" i="5" s="1"/>
  <c r="Z106" i="5"/>
  <c r="AB106" i="5"/>
  <c r="AC106" i="5"/>
  <c r="AF106" i="5"/>
  <c r="AG106" i="5"/>
  <c r="AH106" i="5"/>
  <c r="AJ106" i="5"/>
  <c r="AK106" i="5"/>
  <c r="AO106" i="5"/>
  <c r="AW106" i="5" s="1"/>
  <c r="AP106" i="5"/>
  <c r="K106" i="5" s="1"/>
  <c r="AX106" i="5"/>
  <c r="BD106" i="5"/>
  <c r="BF106" i="5"/>
  <c r="BI106" i="5"/>
  <c r="AE106" i="5" s="1"/>
  <c r="BJ106" i="5"/>
  <c r="K108" i="5"/>
  <c r="L108" i="5"/>
  <c r="AL108" i="5" s="1"/>
  <c r="Z108" i="5"/>
  <c r="AB108" i="5"/>
  <c r="AC108" i="5"/>
  <c r="AF108" i="5"/>
  <c r="AG108" i="5"/>
  <c r="AH108" i="5"/>
  <c r="AJ108" i="5"/>
  <c r="AK108" i="5"/>
  <c r="AO108" i="5"/>
  <c r="AW108" i="5" s="1"/>
  <c r="AV108" i="5" s="1"/>
  <c r="AP108" i="5"/>
  <c r="AX108" i="5"/>
  <c r="BD108" i="5"/>
  <c r="BF108" i="5"/>
  <c r="BI108" i="5"/>
  <c r="AE108" i="5" s="1"/>
  <c r="BJ108" i="5"/>
  <c r="L110" i="5"/>
  <c r="Z110" i="5"/>
  <c r="AB110" i="5"/>
  <c r="AC110" i="5"/>
  <c r="AF110" i="5"/>
  <c r="AG110" i="5"/>
  <c r="AH110" i="5"/>
  <c r="AJ110" i="5"/>
  <c r="AK110" i="5"/>
  <c r="AL110" i="5"/>
  <c r="AO110" i="5"/>
  <c r="AW110" i="5" s="1"/>
  <c r="AP110" i="5"/>
  <c r="AX110" i="5" s="1"/>
  <c r="BD110" i="5"/>
  <c r="BF110" i="5"/>
  <c r="BH110" i="5"/>
  <c r="AD110" i="5" s="1"/>
  <c r="BJ110" i="5"/>
  <c r="J112" i="5"/>
  <c r="L112" i="5"/>
  <c r="Z112" i="5"/>
  <c r="AB112" i="5"/>
  <c r="AC112" i="5"/>
  <c r="AF112" i="5"/>
  <c r="AG112" i="5"/>
  <c r="AH112" i="5"/>
  <c r="AJ112" i="5"/>
  <c r="AK112" i="5"/>
  <c r="AL112" i="5"/>
  <c r="AO112" i="5"/>
  <c r="AP112" i="5"/>
  <c r="AX112" i="5" s="1"/>
  <c r="BC112" i="5" s="1"/>
  <c r="AW112" i="5"/>
  <c r="BD112" i="5"/>
  <c r="BF112" i="5"/>
  <c r="BH112" i="5"/>
  <c r="AD112" i="5" s="1"/>
  <c r="BJ112" i="5"/>
  <c r="J114" i="5"/>
  <c r="K114" i="5"/>
  <c r="L114" i="5"/>
  <c r="AL114" i="5" s="1"/>
  <c r="Z114" i="5"/>
  <c r="AB114" i="5"/>
  <c r="AC114" i="5"/>
  <c r="AF114" i="5"/>
  <c r="AG114" i="5"/>
  <c r="AH114" i="5"/>
  <c r="AJ114" i="5"/>
  <c r="AK114" i="5"/>
  <c r="AO114" i="5"/>
  <c r="AP114" i="5"/>
  <c r="BI114" i="5" s="1"/>
  <c r="AE114" i="5" s="1"/>
  <c r="AV114" i="5"/>
  <c r="AW114" i="5"/>
  <c r="AX114" i="5"/>
  <c r="BD114" i="5"/>
  <c r="BF114" i="5"/>
  <c r="BH114" i="5"/>
  <c r="AD114" i="5" s="1"/>
  <c r="BJ114" i="5"/>
  <c r="L116" i="5"/>
  <c r="AL116" i="5" s="1"/>
  <c r="Z116" i="5"/>
  <c r="AB116" i="5"/>
  <c r="AC116" i="5"/>
  <c r="AF116" i="5"/>
  <c r="AG116" i="5"/>
  <c r="AH116" i="5"/>
  <c r="AJ116" i="5"/>
  <c r="AK116" i="5"/>
  <c r="AO116" i="5"/>
  <c r="BH116" i="5" s="1"/>
  <c r="AD116" i="5" s="1"/>
  <c r="AP116" i="5"/>
  <c r="K116" i="5" s="1"/>
  <c r="BD116" i="5"/>
  <c r="BF116" i="5"/>
  <c r="BJ116" i="5"/>
  <c r="L119" i="5"/>
  <c r="Z119" i="5"/>
  <c r="AB119" i="5"/>
  <c r="AC119" i="5"/>
  <c r="AF119" i="5"/>
  <c r="AG119" i="5"/>
  <c r="AH119" i="5"/>
  <c r="AJ119" i="5"/>
  <c r="AK119" i="5"/>
  <c r="AO119" i="5"/>
  <c r="BH119" i="5" s="1"/>
  <c r="AD119" i="5" s="1"/>
  <c r="AP119" i="5"/>
  <c r="AX119" i="5" s="1"/>
  <c r="BD119" i="5"/>
  <c r="BF119" i="5"/>
  <c r="BJ119" i="5"/>
  <c r="L121" i="5"/>
  <c r="Z121" i="5"/>
  <c r="AB121" i="5"/>
  <c r="AC121" i="5"/>
  <c r="AF121" i="5"/>
  <c r="AG121" i="5"/>
  <c r="AH121" i="5"/>
  <c r="AJ121" i="5"/>
  <c r="AK121" i="5"/>
  <c r="AO121" i="5"/>
  <c r="J121" i="5"/>
  <c r="AP121" i="5"/>
  <c r="BI121" i="5" s="1"/>
  <c r="AE121" i="5" s="1"/>
  <c r="BD121" i="5"/>
  <c r="BF121" i="5"/>
  <c r="BH121" i="5"/>
  <c r="AD121" i="5" s="1"/>
  <c r="BJ121" i="5"/>
  <c r="L123" i="5"/>
  <c r="Z123" i="5"/>
  <c r="AB123" i="5"/>
  <c r="AC123" i="5"/>
  <c r="AF123" i="5"/>
  <c r="AG123" i="5"/>
  <c r="AH123" i="5"/>
  <c r="AJ123" i="5"/>
  <c r="AK123" i="5"/>
  <c r="AL123" i="5"/>
  <c r="AO123" i="5"/>
  <c r="BH123" i="5" s="1"/>
  <c r="AD123" i="5" s="1"/>
  <c r="AP123" i="5"/>
  <c r="K123" i="5" s="1"/>
  <c r="BD123" i="5"/>
  <c r="BF123" i="5"/>
  <c r="BJ123" i="5"/>
  <c r="L125" i="5"/>
  <c r="AL125" i="5" s="1"/>
  <c r="Z125" i="5"/>
  <c r="AB125" i="5"/>
  <c r="AC125" i="5"/>
  <c r="AF125" i="5"/>
  <c r="AG125" i="5"/>
  <c r="AH125" i="5"/>
  <c r="AJ125" i="5"/>
  <c r="AK125" i="5"/>
  <c r="AO125" i="5"/>
  <c r="BH125" i="5" s="1"/>
  <c r="AD125" i="5" s="1"/>
  <c r="AP125" i="5"/>
  <c r="BI125" i="5" s="1"/>
  <c r="AE125" i="5" s="1"/>
  <c r="BD125" i="5"/>
  <c r="BF125" i="5"/>
  <c r="BJ125" i="5"/>
  <c r="L127" i="5"/>
  <c r="AL127" i="5" s="1"/>
  <c r="Z127" i="5"/>
  <c r="AB127" i="5"/>
  <c r="AC127" i="5"/>
  <c r="AF127" i="5"/>
  <c r="AG127" i="5"/>
  <c r="AH127" i="5"/>
  <c r="AJ127" i="5"/>
  <c r="AK127" i="5"/>
  <c r="AO127" i="5"/>
  <c r="J127" i="5" s="1"/>
  <c r="AP127" i="5"/>
  <c r="K127" i="5" s="1"/>
  <c r="BD127" i="5"/>
  <c r="BF127" i="5"/>
  <c r="BJ127" i="5"/>
  <c r="L129" i="5"/>
  <c r="Z129" i="5"/>
  <c r="AB129" i="5"/>
  <c r="AC129" i="5"/>
  <c r="AF129" i="5"/>
  <c r="AG129" i="5"/>
  <c r="AH129" i="5"/>
  <c r="AJ129" i="5"/>
  <c r="AK129" i="5"/>
  <c r="AL129" i="5"/>
  <c r="AO129" i="5"/>
  <c r="BH129" i="5" s="1"/>
  <c r="AD129" i="5" s="1"/>
  <c r="AP129" i="5"/>
  <c r="K129" i="5" s="1"/>
  <c r="AX129" i="5"/>
  <c r="BD129" i="5"/>
  <c r="BF129" i="5"/>
  <c r="BI129" i="5"/>
  <c r="AE129" i="5" s="1"/>
  <c r="BJ129" i="5"/>
  <c r="L131" i="5"/>
  <c r="AL131" i="5" s="1"/>
  <c r="Z131" i="5"/>
  <c r="AB131" i="5"/>
  <c r="AC131" i="5"/>
  <c r="AF131" i="5"/>
  <c r="AG131" i="5"/>
  <c r="AH131" i="5"/>
  <c r="AJ131" i="5"/>
  <c r="AK131" i="5"/>
  <c r="AO131" i="5"/>
  <c r="BH131" i="5" s="1"/>
  <c r="AD131" i="5" s="1"/>
  <c r="AP131" i="5"/>
  <c r="BI131" i="5" s="1"/>
  <c r="AE131" i="5" s="1"/>
  <c r="K131" i="5"/>
  <c r="BD131" i="5"/>
  <c r="BF131" i="5"/>
  <c r="BJ131" i="5"/>
  <c r="L133" i="5"/>
  <c r="AL133" i="5" s="1"/>
  <c r="Z133" i="5"/>
  <c r="AB133" i="5"/>
  <c r="AC133" i="5"/>
  <c r="AF133" i="5"/>
  <c r="AG133" i="5"/>
  <c r="AH133" i="5"/>
  <c r="AJ133" i="5"/>
  <c r="AK133" i="5"/>
  <c r="AO133" i="5"/>
  <c r="J133" i="5" s="1"/>
  <c r="AP133" i="5"/>
  <c r="AX133" i="5" s="1"/>
  <c r="BD133" i="5"/>
  <c r="BF133" i="5"/>
  <c r="BH133" i="5"/>
  <c r="AD133" i="5" s="1"/>
  <c r="BJ133" i="5"/>
  <c r="L135" i="5"/>
  <c r="AL135" i="5" s="1"/>
  <c r="Z135" i="5"/>
  <c r="AB135" i="5"/>
  <c r="AC135" i="5"/>
  <c r="AF135" i="5"/>
  <c r="AG135" i="5"/>
  <c r="AH135" i="5"/>
  <c r="AJ135" i="5"/>
  <c r="AK135" i="5"/>
  <c r="AO135" i="5"/>
  <c r="BH135" i="5" s="1"/>
  <c r="AD135" i="5" s="1"/>
  <c r="AP135" i="5"/>
  <c r="K135" i="5" s="1"/>
  <c r="BD135" i="5"/>
  <c r="BF135" i="5"/>
  <c r="BI135" i="5"/>
  <c r="AE135" i="5" s="1"/>
  <c r="BJ135" i="5"/>
  <c r="K137" i="5"/>
  <c r="L137" i="5"/>
  <c r="AL137" i="5" s="1"/>
  <c r="Z137" i="5"/>
  <c r="AB137" i="5"/>
  <c r="AC137" i="5"/>
  <c r="AF137" i="5"/>
  <c r="AG137" i="5"/>
  <c r="AH137" i="5"/>
  <c r="AJ137" i="5"/>
  <c r="AK137" i="5"/>
  <c r="AO137" i="5"/>
  <c r="J137" i="5" s="1"/>
  <c r="AP137" i="5"/>
  <c r="AX137" i="5"/>
  <c r="BD137" i="5"/>
  <c r="BF137" i="5"/>
  <c r="BH137" i="5"/>
  <c r="AD137" i="5" s="1"/>
  <c r="BI137" i="5"/>
  <c r="AE137" i="5" s="1"/>
  <c r="BJ137" i="5"/>
  <c r="L139" i="5"/>
  <c r="AL139" i="5" s="1"/>
  <c r="Z139" i="5"/>
  <c r="AB139" i="5"/>
  <c r="AC139" i="5"/>
  <c r="AF139" i="5"/>
  <c r="AG139" i="5"/>
  <c r="AH139" i="5"/>
  <c r="AJ139" i="5"/>
  <c r="AK139" i="5"/>
  <c r="AO139" i="5"/>
  <c r="J139" i="5" s="1"/>
  <c r="AP139" i="5"/>
  <c r="BI139" i="5" s="1"/>
  <c r="AE139" i="5" s="1"/>
  <c r="K139" i="5"/>
  <c r="AX139" i="5"/>
  <c r="BD139" i="5"/>
  <c r="BF139" i="5"/>
  <c r="BJ139" i="5"/>
  <c r="L141" i="5"/>
  <c r="AL141" i="5" s="1"/>
  <c r="Z141" i="5"/>
  <c r="AB141" i="5"/>
  <c r="AC141" i="5"/>
  <c r="AF141" i="5"/>
  <c r="AG141" i="5"/>
  <c r="AH141" i="5"/>
  <c r="AJ141" i="5"/>
  <c r="AK141" i="5"/>
  <c r="AO141" i="5"/>
  <c r="BH141" i="5" s="1"/>
  <c r="AD141" i="5" s="1"/>
  <c r="AP141" i="5"/>
  <c r="K141" i="5" s="1"/>
  <c r="AW141" i="5"/>
  <c r="BD141" i="5"/>
  <c r="BF141" i="5"/>
  <c r="BJ141" i="5"/>
  <c r="L143" i="5"/>
  <c r="AL143" i="5" s="1"/>
  <c r="Z143" i="5"/>
  <c r="AB143" i="5"/>
  <c r="AC143" i="5"/>
  <c r="AF143" i="5"/>
  <c r="AG143" i="5"/>
  <c r="AH143" i="5"/>
  <c r="AJ143" i="5"/>
  <c r="AK143" i="5"/>
  <c r="AO143" i="5"/>
  <c r="BH143" i="5" s="1"/>
  <c r="AD143" i="5" s="1"/>
  <c r="AP143" i="5"/>
  <c r="K143" i="5" s="1"/>
  <c r="BD143" i="5"/>
  <c r="BF143" i="5"/>
  <c r="BJ143" i="5"/>
  <c r="K145" i="5"/>
  <c r="L145" i="5"/>
  <c r="Z145" i="5"/>
  <c r="AB145" i="5"/>
  <c r="AC145" i="5"/>
  <c r="AF145" i="5"/>
  <c r="AG145" i="5"/>
  <c r="AH145" i="5"/>
  <c r="AJ145" i="5"/>
  <c r="AK145" i="5"/>
  <c r="AL145" i="5"/>
  <c r="AO145" i="5"/>
  <c r="J145" i="5" s="1"/>
  <c r="AP145" i="5"/>
  <c r="AX145" i="5" s="1"/>
  <c r="AW145" i="5"/>
  <c r="BD145" i="5"/>
  <c r="BF145" i="5"/>
  <c r="BH145" i="5"/>
  <c r="AD145" i="5" s="1"/>
  <c r="BJ145" i="5"/>
  <c r="L147" i="5"/>
  <c r="AL147" i="5" s="1"/>
  <c r="Z147" i="5"/>
  <c r="AB147" i="5"/>
  <c r="AC147" i="5"/>
  <c r="AF147" i="5"/>
  <c r="AG147" i="5"/>
  <c r="AH147" i="5"/>
  <c r="AJ147" i="5"/>
  <c r="AK147" i="5"/>
  <c r="AO147" i="5"/>
  <c r="J147" i="5" s="1"/>
  <c r="AP147" i="5"/>
  <c r="AX147" i="5"/>
  <c r="BD147" i="5"/>
  <c r="BF147" i="5"/>
  <c r="BH147" i="5"/>
  <c r="AD147" i="5" s="1"/>
  <c r="BI147" i="5"/>
  <c r="AE147" i="5" s="1"/>
  <c r="BJ147" i="5"/>
  <c r="L149" i="5"/>
  <c r="AL149" i="5" s="1"/>
  <c r="Z149" i="5"/>
  <c r="AB149" i="5"/>
  <c r="AC149" i="5"/>
  <c r="AF149" i="5"/>
  <c r="AG149" i="5"/>
  <c r="AH149" i="5"/>
  <c r="AJ149" i="5"/>
  <c r="AK149" i="5"/>
  <c r="AO149" i="5"/>
  <c r="BH149" i="5" s="1"/>
  <c r="AD149" i="5" s="1"/>
  <c r="AW149" i="5"/>
  <c r="AP149" i="5"/>
  <c r="BI149" i="5" s="1"/>
  <c r="AE149" i="5" s="1"/>
  <c r="BD149" i="5"/>
  <c r="BF149" i="5"/>
  <c r="BJ149" i="5"/>
  <c r="L151" i="5"/>
  <c r="Z151" i="5"/>
  <c r="AB151" i="5"/>
  <c r="AC151" i="5"/>
  <c r="AF151" i="5"/>
  <c r="AG151" i="5"/>
  <c r="AH151" i="5"/>
  <c r="AJ151" i="5"/>
  <c r="AK151" i="5"/>
  <c r="AL151" i="5"/>
  <c r="AO151" i="5"/>
  <c r="BH151" i="5" s="1"/>
  <c r="AD151" i="5" s="1"/>
  <c r="AP151" i="5"/>
  <c r="K151" i="5" s="1"/>
  <c r="AW151" i="5"/>
  <c r="BD151" i="5"/>
  <c r="BF151" i="5"/>
  <c r="BJ151" i="5"/>
  <c r="L153" i="5"/>
  <c r="AL153" i="5" s="1"/>
  <c r="Z153" i="5"/>
  <c r="AB153" i="5"/>
  <c r="AC153" i="5"/>
  <c r="AF153" i="5"/>
  <c r="AG153" i="5"/>
  <c r="AH153" i="5"/>
  <c r="AJ153" i="5"/>
  <c r="AK153" i="5"/>
  <c r="AO153" i="5"/>
  <c r="J153" i="5" s="1"/>
  <c r="AP153" i="5"/>
  <c r="K153" i="5" s="1"/>
  <c r="BD153" i="5"/>
  <c r="BF153" i="5"/>
  <c r="BJ153" i="5"/>
  <c r="L155" i="5"/>
  <c r="AL155" i="5" s="1"/>
  <c r="Z155" i="5"/>
  <c r="AB155" i="5"/>
  <c r="AC155" i="5"/>
  <c r="AF155" i="5"/>
  <c r="AG155" i="5"/>
  <c r="AH155" i="5"/>
  <c r="AJ155" i="5"/>
  <c r="AK155" i="5"/>
  <c r="AO155" i="5"/>
  <c r="BH155" i="5" s="1"/>
  <c r="AD155" i="5" s="1"/>
  <c r="AP155" i="5"/>
  <c r="K155" i="5" s="1"/>
  <c r="BD155" i="5"/>
  <c r="BF155" i="5"/>
  <c r="BJ155" i="5"/>
  <c r="L157" i="5"/>
  <c r="AL157" i="5" s="1"/>
  <c r="Z157" i="5"/>
  <c r="AB157" i="5"/>
  <c r="AC157" i="5"/>
  <c r="AF157" i="5"/>
  <c r="AG157" i="5"/>
  <c r="AH157" i="5"/>
  <c r="AJ157" i="5"/>
  <c r="AK157" i="5"/>
  <c r="AO157" i="5"/>
  <c r="J157" i="5" s="1"/>
  <c r="AP157" i="5"/>
  <c r="AX157" i="5" s="1"/>
  <c r="BD157" i="5"/>
  <c r="BF157" i="5"/>
  <c r="BH157" i="5"/>
  <c r="AD157" i="5" s="1"/>
  <c r="BJ157" i="5"/>
  <c r="J159" i="5"/>
  <c r="L159" i="5"/>
  <c r="AL159" i="5" s="1"/>
  <c r="Z159" i="5"/>
  <c r="AB159" i="5"/>
  <c r="AC159" i="5"/>
  <c r="AF159" i="5"/>
  <c r="AG159" i="5"/>
  <c r="AH159" i="5"/>
  <c r="AJ159" i="5"/>
  <c r="AK159" i="5"/>
  <c r="AO159" i="5"/>
  <c r="AW159" i="5" s="1"/>
  <c r="AP159" i="5"/>
  <c r="K159" i="5"/>
  <c r="BD159" i="5"/>
  <c r="BF159" i="5"/>
  <c r="BI159" i="5"/>
  <c r="AE159" i="5" s="1"/>
  <c r="BJ159" i="5"/>
  <c r="L161" i="5"/>
  <c r="AL161" i="5" s="1"/>
  <c r="Z161" i="5"/>
  <c r="AB161" i="5"/>
  <c r="AC161" i="5"/>
  <c r="AF161" i="5"/>
  <c r="AG161" i="5"/>
  <c r="AH161" i="5"/>
  <c r="AJ161" i="5"/>
  <c r="AK161" i="5"/>
  <c r="AO161" i="5"/>
  <c r="AW161" i="5"/>
  <c r="AP161" i="5"/>
  <c r="BI161" i="5" s="1"/>
  <c r="AE161" i="5" s="1"/>
  <c r="BD161" i="5"/>
  <c r="BF161" i="5"/>
  <c r="BH161" i="5"/>
  <c r="AD161" i="5" s="1"/>
  <c r="BJ161" i="5"/>
  <c r="L163" i="5"/>
  <c r="AL163" i="5" s="1"/>
  <c r="Z163" i="5"/>
  <c r="AB163" i="5"/>
  <c r="AC163" i="5"/>
  <c r="AF163" i="5"/>
  <c r="AG163" i="5"/>
  <c r="AH163" i="5"/>
  <c r="AJ163" i="5"/>
  <c r="AK163" i="5"/>
  <c r="AO163" i="5"/>
  <c r="BH163" i="5" s="1"/>
  <c r="AD163" i="5" s="1"/>
  <c r="AP163" i="5"/>
  <c r="AX163" i="5" s="1"/>
  <c r="BD163" i="5"/>
  <c r="BF163" i="5"/>
  <c r="BJ163" i="5"/>
  <c r="L165" i="5"/>
  <c r="AL165" i="5" s="1"/>
  <c r="Z165" i="5"/>
  <c r="AB165" i="5"/>
  <c r="AC165" i="5"/>
  <c r="AF165" i="5"/>
  <c r="AG165" i="5"/>
  <c r="AH165" i="5"/>
  <c r="AJ165" i="5"/>
  <c r="AK165" i="5"/>
  <c r="AO165" i="5"/>
  <c r="BH165" i="5" s="1"/>
  <c r="AD165" i="5" s="1"/>
  <c r="AP165" i="5"/>
  <c r="AX165" i="5" s="1"/>
  <c r="BD165" i="5"/>
  <c r="BF165" i="5"/>
  <c r="BJ165" i="5"/>
  <c r="L167" i="5"/>
  <c r="AL167" i="5" s="1"/>
  <c r="Z167" i="5"/>
  <c r="AB167" i="5"/>
  <c r="AC167" i="5"/>
  <c r="AF167" i="5"/>
  <c r="AG167" i="5"/>
  <c r="AH167" i="5"/>
  <c r="AJ167" i="5"/>
  <c r="AK167" i="5"/>
  <c r="AO167" i="5"/>
  <c r="BH167" i="5" s="1"/>
  <c r="AD167" i="5" s="1"/>
  <c r="AP167" i="5"/>
  <c r="K167" i="5" s="1"/>
  <c r="BD167" i="5"/>
  <c r="BF167" i="5"/>
  <c r="BJ167" i="5"/>
  <c r="L169" i="5"/>
  <c r="Z169" i="5"/>
  <c r="AB169" i="5"/>
  <c r="AC169" i="5"/>
  <c r="AF169" i="5"/>
  <c r="AG169" i="5"/>
  <c r="AH169" i="5"/>
  <c r="AJ169" i="5"/>
  <c r="AK169" i="5"/>
  <c r="AL169" i="5"/>
  <c r="AO169" i="5"/>
  <c r="BH169" i="5" s="1"/>
  <c r="AD169" i="5" s="1"/>
  <c r="AP169" i="5"/>
  <c r="AX169" i="5" s="1"/>
  <c r="BD169" i="5"/>
  <c r="BF169" i="5"/>
  <c r="BJ169" i="5"/>
  <c r="L171" i="5"/>
  <c r="AL171" i="5"/>
  <c r="Z171" i="5"/>
  <c r="AB171" i="5"/>
  <c r="AC171" i="5"/>
  <c r="AF171" i="5"/>
  <c r="AG171" i="5"/>
  <c r="AH171" i="5"/>
  <c r="AJ171" i="5"/>
  <c r="AK171" i="5"/>
  <c r="AO171" i="5"/>
  <c r="BH171" i="5" s="1"/>
  <c r="AD171" i="5" s="1"/>
  <c r="AP171" i="5"/>
  <c r="AX171" i="5" s="1"/>
  <c r="BD171" i="5"/>
  <c r="BF171" i="5"/>
  <c r="BJ171" i="5"/>
  <c r="L173" i="5"/>
  <c r="AL173" i="5" s="1"/>
  <c r="Z173" i="5"/>
  <c r="AB173" i="5"/>
  <c r="AC173" i="5"/>
  <c r="AF173" i="5"/>
  <c r="AG173" i="5"/>
  <c r="AH173" i="5"/>
  <c r="AJ173" i="5"/>
  <c r="AK173" i="5"/>
  <c r="AO173" i="5"/>
  <c r="BH173" i="5" s="1"/>
  <c r="AD173" i="5" s="1"/>
  <c r="AP173" i="5"/>
  <c r="AX173" i="5" s="1"/>
  <c r="K173" i="5"/>
  <c r="BD173" i="5"/>
  <c r="BF173" i="5"/>
  <c r="BJ173" i="5"/>
  <c r="K175" i="5"/>
  <c r="L175" i="5"/>
  <c r="AL175" i="5" s="1"/>
  <c r="Z175" i="5"/>
  <c r="AB175" i="5"/>
  <c r="AC175" i="5"/>
  <c r="AF175" i="5"/>
  <c r="AG175" i="5"/>
  <c r="AH175" i="5"/>
  <c r="AJ175" i="5"/>
  <c r="AK175" i="5"/>
  <c r="AO175" i="5"/>
  <c r="AW175" i="5" s="1"/>
  <c r="AP175" i="5"/>
  <c r="AX175" i="5" s="1"/>
  <c r="BD175" i="5"/>
  <c r="BF175" i="5"/>
  <c r="BH175" i="5"/>
  <c r="AD175" i="5" s="1"/>
  <c r="BI175" i="5"/>
  <c r="AE175" i="5" s="1"/>
  <c r="BJ175" i="5"/>
  <c r="L177" i="5"/>
  <c r="AL177" i="5" s="1"/>
  <c r="Z177" i="5"/>
  <c r="AB177" i="5"/>
  <c r="AC177" i="5"/>
  <c r="AF177" i="5"/>
  <c r="AG177" i="5"/>
  <c r="AH177" i="5"/>
  <c r="AJ177" i="5"/>
  <c r="AK177" i="5"/>
  <c r="AO177" i="5"/>
  <c r="J177" i="5" s="1"/>
  <c r="AP177" i="5"/>
  <c r="K177" i="5" s="1"/>
  <c r="BD177" i="5"/>
  <c r="BF177" i="5"/>
  <c r="BH177" i="5"/>
  <c r="AD177" i="5" s="1"/>
  <c r="BI177" i="5"/>
  <c r="AE177" i="5" s="1"/>
  <c r="BJ177" i="5"/>
  <c r="K179" i="5"/>
  <c r="L179" i="5"/>
  <c r="AL179" i="5" s="1"/>
  <c r="Z179" i="5"/>
  <c r="AB179" i="5"/>
  <c r="AC179" i="5"/>
  <c r="AF179" i="5"/>
  <c r="AG179" i="5"/>
  <c r="AH179" i="5"/>
  <c r="AJ179" i="5"/>
  <c r="AK179" i="5"/>
  <c r="AO179" i="5"/>
  <c r="J179" i="5" s="1"/>
  <c r="AP179" i="5"/>
  <c r="AX179" i="5" s="1"/>
  <c r="BD179" i="5"/>
  <c r="BF179" i="5"/>
  <c r="BH179" i="5"/>
  <c r="AD179" i="5" s="1"/>
  <c r="BI179" i="5"/>
  <c r="AE179" i="5" s="1"/>
  <c r="BJ179" i="5"/>
  <c r="L181" i="5"/>
  <c r="AL181" i="5" s="1"/>
  <c r="Z181" i="5"/>
  <c r="AB181" i="5"/>
  <c r="AC181" i="5"/>
  <c r="AF181" i="5"/>
  <c r="AG181" i="5"/>
  <c r="AH181" i="5"/>
  <c r="AJ181" i="5"/>
  <c r="AK181" i="5"/>
  <c r="AO181" i="5"/>
  <c r="J181" i="5" s="1"/>
  <c r="AP181" i="5"/>
  <c r="BI181" i="5" s="1"/>
  <c r="AE181" i="5" s="1"/>
  <c r="K181" i="5"/>
  <c r="BD181" i="5"/>
  <c r="BF181" i="5"/>
  <c r="BH181" i="5"/>
  <c r="AD181" i="5" s="1"/>
  <c r="BJ181" i="5"/>
  <c r="L183" i="5"/>
  <c r="AL183" i="5" s="1"/>
  <c r="Z183" i="5"/>
  <c r="AB183" i="5"/>
  <c r="AC183" i="5"/>
  <c r="AF183" i="5"/>
  <c r="AG183" i="5"/>
  <c r="AH183" i="5"/>
  <c r="AJ183" i="5"/>
  <c r="AK183" i="5"/>
  <c r="AO183" i="5"/>
  <c r="AW183" i="5" s="1"/>
  <c r="AP183" i="5"/>
  <c r="BI183" i="5" s="1"/>
  <c r="AE183" i="5" s="1"/>
  <c r="K183" i="5"/>
  <c r="AX183" i="5"/>
  <c r="BD183" i="5"/>
  <c r="BF183" i="5"/>
  <c r="BJ183" i="5"/>
  <c r="L185" i="5"/>
  <c r="AL185" i="5" s="1"/>
  <c r="Z185" i="5"/>
  <c r="AB185" i="5"/>
  <c r="AC185" i="5"/>
  <c r="AF185" i="5"/>
  <c r="AG185" i="5"/>
  <c r="AH185" i="5"/>
  <c r="AJ185" i="5"/>
  <c r="AK185" i="5"/>
  <c r="AO185" i="5"/>
  <c r="J185" i="5" s="1"/>
  <c r="AP185" i="5"/>
  <c r="K185" i="5" s="1"/>
  <c r="AW185" i="5"/>
  <c r="BD185" i="5"/>
  <c r="BF185" i="5"/>
  <c r="BH185" i="5"/>
  <c r="AD185" i="5" s="1"/>
  <c r="BI185" i="5"/>
  <c r="AE185" i="5" s="1"/>
  <c r="BJ185" i="5"/>
  <c r="L187" i="5"/>
  <c r="AL187" i="5" s="1"/>
  <c r="Z187" i="5"/>
  <c r="AB187" i="5"/>
  <c r="AC187" i="5"/>
  <c r="AF187" i="5"/>
  <c r="AG187" i="5"/>
  <c r="AH187" i="5"/>
  <c r="AJ187" i="5"/>
  <c r="AK187" i="5"/>
  <c r="AO187" i="5"/>
  <c r="BH187" i="5" s="1"/>
  <c r="AD187" i="5" s="1"/>
  <c r="AW187" i="5"/>
  <c r="AP187" i="5"/>
  <c r="BI187" i="5" s="1"/>
  <c r="AE187" i="5" s="1"/>
  <c r="BD187" i="5"/>
  <c r="BF187" i="5"/>
  <c r="BJ187" i="5"/>
  <c r="L189" i="5"/>
  <c r="AL189" i="5" s="1"/>
  <c r="Z189" i="5"/>
  <c r="AB189" i="5"/>
  <c r="AC189" i="5"/>
  <c r="AF189" i="5"/>
  <c r="AG189" i="5"/>
  <c r="AH189" i="5"/>
  <c r="AJ189" i="5"/>
  <c r="AK189" i="5"/>
  <c r="AO189" i="5"/>
  <c r="BH189" i="5" s="1"/>
  <c r="AD189" i="5" s="1"/>
  <c r="J189" i="5"/>
  <c r="AP189" i="5"/>
  <c r="BI189" i="5" s="1"/>
  <c r="AE189" i="5" s="1"/>
  <c r="BD189" i="5"/>
  <c r="BF189" i="5"/>
  <c r="BJ189" i="5"/>
  <c r="L191" i="5"/>
  <c r="AL191" i="5"/>
  <c r="Z191" i="5"/>
  <c r="AB191" i="5"/>
  <c r="AC191" i="5"/>
  <c r="AF191" i="5"/>
  <c r="AG191" i="5"/>
  <c r="AH191" i="5"/>
  <c r="AJ191" i="5"/>
  <c r="AK191" i="5"/>
  <c r="AO191" i="5"/>
  <c r="BH191" i="5" s="1"/>
  <c r="AD191" i="5" s="1"/>
  <c r="AP191" i="5"/>
  <c r="BI191" i="5" s="1"/>
  <c r="AE191" i="5" s="1"/>
  <c r="BD191" i="5"/>
  <c r="BF191" i="5"/>
  <c r="BJ191" i="5"/>
  <c r="L193" i="5"/>
  <c r="AL193" i="5"/>
  <c r="Z193" i="5"/>
  <c r="AB193" i="5"/>
  <c r="AC193" i="5"/>
  <c r="AF193" i="5"/>
  <c r="AG193" i="5"/>
  <c r="AH193" i="5"/>
  <c r="AJ193" i="5"/>
  <c r="AK193" i="5"/>
  <c r="AO193" i="5"/>
  <c r="J193" i="5" s="1"/>
  <c r="AP193" i="5"/>
  <c r="K193" i="5" s="1"/>
  <c r="BD193" i="5"/>
  <c r="BF193" i="5"/>
  <c r="BJ193" i="5"/>
  <c r="L195" i="5"/>
  <c r="Z195" i="5"/>
  <c r="AB195" i="5"/>
  <c r="AC195" i="5"/>
  <c r="AF195" i="5"/>
  <c r="AG195" i="5"/>
  <c r="AH195" i="5"/>
  <c r="AJ195" i="5"/>
  <c r="AK195" i="5"/>
  <c r="AL195" i="5"/>
  <c r="AO195" i="5"/>
  <c r="BH195" i="5" s="1"/>
  <c r="AD195" i="5" s="1"/>
  <c r="AP195" i="5"/>
  <c r="BI195" i="5" s="1"/>
  <c r="AE195" i="5" s="1"/>
  <c r="BD195" i="5"/>
  <c r="BF195" i="5"/>
  <c r="BJ195" i="5"/>
  <c r="L197" i="5"/>
  <c r="AL197" i="5" s="1"/>
  <c r="Z197" i="5"/>
  <c r="AB197" i="5"/>
  <c r="AC197" i="5"/>
  <c r="AF197" i="5"/>
  <c r="AG197" i="5"/>
  <c r="AH197" i="5"/>
  <c r="AJ197" i="5"/>
  <c r="AK197" i="5"/>
  <c r="AO197" i="5"/>
  <c r="AW197" i="5" s="1"/>
  <c r="AP197" i="5"/>
  <c r="K197" i="5" s="1"/>
  <c r="BD197" i="5"/>
  <c r="BF197" i="5"/>
  <c r="BJ197" i="5"/>
  <c r="L199" i="5"/>
  <c r="AL199" i="5" s="1"/>
  <c r="Z199" i="5"/>
  <c r="AB199" i="5"/>
  <c r="AC199" i="5"/>
  <c r="AF199" i="5"/>
  <c r="AG199" i="5"/>
  <c r="AH199" i="5"/>
  <c r="AJ199" i="5"/>
  <c r="AK199" i="5"/>
  <c r="AO199" i="5"/>
  <c r="J199" i="5" s="1"/>
  <c r="AP199" i="5"/>
  <c r="K199" i="5" s="1"/>
  <c r="BD199" i="5"/>
  <c r="BF199" i="5"/>
  <c r="BJ199" i="5"/>
  <c r="L201" i="5"/>
  <c r="AL201" i="5"/>
  <c r="Z201" i="5"/>
  <c r="AB201" i="5"/>
  <c r="AC201" i="5"/>
  <c r="AF201" i="5"/>
  <c r="AG201" i="5"/>
  <c r="AH201" i="5"/>
  <c r="AJ201" i="5"/>
  <c r="AK201" i="5"/>
  <c r="AO201" i="5"/>
  <c r="J201" i="5" s="1"/>
  <c r="AP201" i="5"/>
  <c r="AX201" i="5" s="1"/>
  <c r="BD201" i="5"/>
  <c r="BF201" i="5"/>
  <c r="BH201" i="5"/>
  <c r="AD201" i="5" s="1"/>
  <c r="BJ201" i="5"/>
  <c r="L203" i="5"/>
  <c r="Z203" i="5"/>
  <c r="AB203" i="5"/>
  <c r="AC203" i="5"/>
  <c r="AF203" i="5"/>
  <c r="AG203" i="5"/>
  <c r="AH203" i="5"/>
  <c r="AJ203" i="5"/>
  <c r="AK203" i="5"/>
  <c r="AL203" i="5"/>
  <c r="AO203" i="5"/>
  <c r="BH203" i="5" s="1"/>
  <c r="AD203" i="5" s="1"/>
  <c r="AP203" i="5"/>
  <c r="K203" i="5" s="1"/>
  <c r="BD203" i="5"/>
  <c r="BF203" i="5"/>
  <c r="BI203" i="5"/>
  <c r="AE203" i="5" s="1"/>
  <c r="BJ203" i="5"/>
  <c r="L205" i="5"/>
  <c r="Z205" i="5"/>
  <c r="AB205" i="5"/>
  <c r="AC205" i="5"/>
  <c r="AF205" i="5"/>
  <c r="AG205" i="5"/>
  <c r="AH205" i="5"/>
  <c r="AJ205" i="5"/>
  <c r="AK205" i="5"/>
  <c r="AL205" i="5"/>
  <c r="AO205" i="5"/>
  <c r="BH205" i="5" s="1"/>
  <c r="AD205" i="5" s="1"/>
  <c r="AP205" i="5"/>
  <c r="K205" i="5" s="1"/>
  <c r="BD205" i="5"/>
  <c r="BF205" i="5"/>
  <c r="BI205" i="5"/>
  <c r="AE205" i="5" s="1"/>
  <c r="BJ205" i="5"/>
  <c r="L207" i="5"/>
  <c r="AL207" i="5" s="1"/>
  <c r="Z207" i="5"/>
  <c r="AB207" i="5"/>
  <c r="AC207" i="5"/>
  <c r="AF207" i="5"/>
  <c r="AG207" i="5"/>
  <c r="AH207" i="5"/>
  <c r="AJ207" i="5"/>
  <c r="AK207" i="5"/>
  <c r="AO207" i="5"/>
  <c r="J207" i="5" s="1"/>
  <c r="AP207" i="5"/>
  <c r="K207" i="5" s="1"/>
  <c r="AX207" i="5"/>
  <c r="BD207" i="5"/>
  <c r="BF207" i="5"/>
  <c r="BJ207" i="5"/>
  <c r="L209" i="5"/>
  <c r="AL209" i="5" s="1"/>
  <c r="Z209" i="5"/>
  <c r="AB209" i="5"/>
  <c r="AC209" i="5"/>
  <c r="AF209" i="5"/>
  <c r="AG209" i="5"/>
  <c r="AH209" i="5"/>
  <c r="AJ209" i="5"/>
  <c r="AK209" i="5"/>
  <c r="AO209" i="5"/>
  <c r="J209" i="5" s="1"/>
  <c r="AP209" i="5"/>
  <c r="BI209" i="5" s="1"/>
  <c r="AE209" i="5" s="1"/>
  <c r="AW209" i="5"/>
  <c r="BD209" i="5"/>
  <c r="BF209" i="5"/>
  <c r="BJ209" i="5"/>
  <c r="L211" i="5"/>
  <c r="AL211" i="5" s="1"/>
  <c r="Z211" i="5"/>
  <c r="AB211" i="5"/>
  <c r="AC211" i="5"/>
  <c r="AF211" i="5"/>
  <c r="AG211" i="5"/>
  <c r="AH211" i="5"/>
  <c r="AJ211" i="5"/>
  <c r="AK211" i="5"/>
  <c r="AO211" i="5"/>
  <c r="BH211" i="5" s="1"/>
  <c r="AD211" i="5" s="1"/>
  <c r="AP211" i="5"/>
  <c r="K211" i="5" s="1"/>
  <c r="BD211" i="5"/>
  <c r="BF211" i="5"/>
  <c r="BI211" i="5"/>
  <c r="AE211" i="5" s="1"/>
  <c r="BJ211" i="5"/>
  <c r="K213" i="5"/>
  <c r="L213" i="5"/>
  <c r="AL213" i="5" s="1"/>
  <c r="Z213" i="5"/>
  <c r="AB213" i="5"/>
  <c r="AC213" i="5"/>
  <c r="AF213" i="5"/>
  <c r="AG213" i="5"/>
  <c r="AH213" i="5"/>
  <c r="AJ213" i="5"/>
  <c r="AK213" i="5"/>
  <c r="AO213" i="5"/>
  <c r="AW213" i="5" s="1"/>
  <c r="AP213" i="5"/>
  <c r="AX213" i="5"/>
  <c r="BD213" i="5"/>
  <c r="BF213" i="5"/>
  <c r="BI213" i="5"/>
  <c r="AE213" i="5" s="1"/>
  <c r="BJ213" i="5"/>
  <c r="L215" i="5"/>
  <c r="AL215" i="5" s="1"/>
  <c r="Z215" i="5"/>
  <c r="AB215" i="5"/>
  <c r="AC215" i="5"/>
  <c r="AF215" i="5"/>
  <c r="AG215" i="5"/>
  <c r="AH215" i="5"/>
  <c r="AJ215" i="5"/>
  <c r="AK215" i="5"/>
  <c r="AO215" i="5"/>
  <c r="BH215" i="5" s="1"/>
  <c r="AD215" i="5" s="1"/>
  <c r="J215" i="5"/>
  <c r="AP215" i="5"/>
  <c r="BI215" i="5" s="1"/>
  <c r="AE215" i="5" s="1"/>
  <c r="AX215" i="5"/>
  <c r="BD215" i="5"/>
  <c r="BF215" i="5"/>
  <c r="BJ215" i="5"/>
  <c r="K217" i="5"/>
  <c r="L217" i="5"/>
  <c r="AL217" i="5"/>
  <c r="Z217" i="5"/>
  <c r="AB217" i="5"/>
  <c r="AC217" i="5"/>
  <c r="AF217" i="5"/>
  <c r="AG217" i="5"/>
  <c r="AH217" i="5"/>
  <c r="AJ217" i="5"/>
  <c r="AK217" i="5"/>
  <c r="AO217" i="5"/>
  <c r="BH217" i="5" s="1"/>
  <c r="AD217" i="5" s="1"/>
  <c r="AP217" i="5"/>
  <c r="AX217" i="5" s="1"/>
  <c r="BD217" i="5"/>
  <c r="BF217" i="5"/>
  <c r="BI217" i="5"/>
  <c r="AE217" i="5" s="1"/>
  <c r="BJ217" i="5"/>
  <c r="L219" i="5"/>
  <c r="AL219" i="5" s="1"/>
  <c r="Z219" i="5"/>
  <c r="AB219" i="5"/>
  <c r="AC219" i="5"/>
  <c r="AF219" i="5"/>
  <c r="AG219" i="5"/>
  <c r="AH219" i="5"/>
  <c r="AJ219" i="5"/>
  <c r="AK219" i="5"/>
  <c r="AO219" i="5"/>
  <c r="AW219" i="5" s="1"/>
  <c r="AP219" i="5"/>
  <c r="K219" i="5" s="1"/>
  <c r="BD219" i="5"/>
  <c r="BF219" i="5"/>
  <c r="BI219" i="5"/>
  <c r="AE219" i="5" s="1"/>
  <c r="BJ219" i="5"/>
  <c r="J221" i="5"/>
  <c r="L221" i="5"/>
  <c r="AL221" i="5" s="1"/>
  <c r="Z221" i="5"/>
  <c r="AB221" i="5"/>
  <c r="AC221" i="5"/>
  <c r="AF221" i="5"/>
  <c r="AG221" i="5"/>
  <c r="AH221" i="5"/>
  <c r="AJ221" i="5"/>
  <c r="AK221" i="5"/>
  <c r="AO221" i="5"/>
  <c r="AW221" i="5" s="1"/>
  <c r="AP221" i="5"/>
  <c r="K221" i="5"/>
  <c r="BD221" i="5"/>
  <c r="BF221" i="5"/>
  <c r="BH221" i="5"/>
  <c r="AD221" i="5" s="1"/>
  <c r="BI221" i="5"/>
  <c r="AE221" i="5" s="1"/>
  <c r="BJ221" i="5"/>
  <c r="L224" i="5"/>
  <c r="Z224" i="5"/>
  <c r="AD224" i="5"/>
  <c r="AE224" i="5"/>
  <c r="AF224" i="5"/>
  <c r="AG224" i="5"/>
  <c r="AH224" i="5"/>
  <c r="AJ224" i="5"/>
  <c r="AK224" i="5"/>
  <c r="AL224" i="5"/>
  <c r="AO224" i="5"/>
  <c r="BH224" i="5" s="1"/>
  <c r="AB224" i="5" s="1"/>
  <c r="AP224" i="5"/>
  <c r="K224" i="5" s="1"/>
  <c r="BD224" i="5"/>
  <c r="BF224" i="5"/>
  <c r="BI224" i="5"/>
  <c r="AC224" i="5" s="1"/>
  <c r="BJ224" i="5"/>
  <c r="L226" i="5"/>
  <c r="AL226" i="5"/>
  <c r="Z226" i="5"/>
  <c r="AD226" i="5"/>
  <c r="AE226" i="5"/>
  <c r="AF226" i="5"/>
  <c r="AG226" i="5"/>
  <c r="AH226" i="5"/>
  <c r="AJ226" i="5"/>
  <c r="AK226" i="5"/>
  <c r="AO226" i="5"/>
  <c r="J226" i="5" s="1"/>
  <c r="AP226" i="5"/>
  <c r="BI226" i="5" s="1"/>
  <c r="AC226" i="5" s="1"/>
  <c r="K226" i="5"/>
  <c r="BD226" i="5"/>
  <c r="BF226" i="5"/>
  <c r="BJ226" i="5"/>
  <c r="J228" i="5"/>
  <c r="K228" i="5"/>
  <c r="L228" i="5"/>
  <c r="Z228" i="5"/>
  <c r="AD228" i="5"/>
  <c r="AE228" i="5"/>
  <c r="AF228" i="5"/>
  <c r="AG228" i="5"/>
  <c r="AH228" i="5"/>
  <c r="AJ228" i="5"/>
  <c r="AK228" i="5"/>
  <c r="AO228" i="5"/>
  <c r="AP228" i="5"/>
  <c r="BI228" i="5" s="1"/>
  <c r="AC228" i="5" s="1"/>
  <c r="AW228" i="5"/>
  <c r="AV228" i="5" s="1"/>
  <c r="AX228" i="5"/>
  <c r="BD228" i="5"/>
  <c r="BF228" i="5"/>
  <c r="BH228" i="5"/>
  <c r="AB228" i="5" s="1"/>
  <c r="BJ228" i="5"/>
  <c r="J230" i="5"/>
  <c r="K230" i="5"/>
  <c r="L230" i="5"/>
  <c r="AL230" i="5"/>
  <c r="Z230" i="5"/>
  <c r="AD230" i="5"/>
  <c r="AE230" i="5"/>
  <c r="AF230" i="5"/>
  <c r="AG230" i="5"/>
  <c r="AH230" i="5"/>
  <c r="AJ230" i="5"/>
  <c r="AK230" i="5"/>
  <c r="AO230" i="5"/>
  <c r="AW230" i="5" s="1"/>
  <c r="AP230" i="5"/>
  <c r="AX230" i="5"/>
  <c r="BD230" i="5"/>
  <c r="BF230" i="5"/>
  <c r="BH230" i="5"/>
  <c r="AB230" i="5" s="1"/>
  <c r="BI230" i="5"/>
  <c r="AC230" i="5" s="1"/>
  <c r="BJ230" i="5"/>
  <c r="L232" i="5"/>
  <c r="Z232" i="5"/>
  <c r="AD232" i="5"/>
  <c r="AE232" i="5"/>
  <c r="AF232" i="5"/>
  <c r="AG232" i="5"/>
  <c r="AH232" i="5"/>
  <c r="AJ232" i="5"/>
  <c r="AK232" i="5"/>
  <c r="AL232" i="5"/>
  <c r="AO232" i="5"/>
  <c r="BH232" i="5" s="1"/>
  <c r="AB232" i="5" s="1"/>
  <c r="AP232" i="5"/>
  <c r="BI232" i="5" s="1"/>
  <c r="AC232" i="5" s="1"/>
  <c r="BD232" i="5"/>
  <c r="BF232" i="5"/>
  <c r="BJ232" i="5"/>
  <c r="L234" i="5"/>
  <c r="Z234" i="5"/>
  <c r="AD234" i="5"/>
  <c r="AE234" i="5"/>
  <c r="AF234" i="5"/>
  <c r="AG234" i="5"/>
  <c r="AH234" i="5"/>
  <c r="AJ234" i="5"/>
  <c r="AK234" i="5"/>
  <c r="AL234" i="5"/>
  <c r="AO234" i="5"/>
  <c r="BH234" i="5" s="1"/>
  <c r="AB234" i="5" s="1"/>
  <c r="AP234" i="5"/>
  <c r="K234" i="5" s="1"/>
  <c r="AX234" i="5"/>
  <c r="BD234" i="5"/>
  <c r="BF234" i="5"/>
  <c r="BJ234" i="5"/>
  <c r="L236" i="5"/>
  <c r="AL236" i="5" s="1"/>
  <c r="Z236" i="5"/>
  <c r="AD236" i="5"/>
  <c r="AE236" i="5"/>
  <c r="AF236" i="5"/>
  <c r="AG236" i="5"/>
  <c r="AH236" i="5"/>
  <c r="AJ236" i="5"/>
  <c r="AK236" i="5"/>
  <c r="AO236" i="5"/>
  <c r="BH236" i="5" s="1"/>
  <c r="AB236" i="5" s="1"/>
  <c r="AP236" i="5"/>
  <c r="K236" i="5" s="1"/>
  <c r="BD236" i="5"/>
  <c r="BF236" i="5"/>
  <c r="BJ236" i="5"/>
  <c r="L240" i="5"/>
  <c r="Z240" i="5"/>
  <c r="AB240" i="5"/>
  <c r="AC240" i="5"/>
  <c r="AF240" i="5"/>
  <c r="AG240" i="5"/>
  <c r="AH240" i="5"/>
  <c r="AJ240" i="5"/>
  <c r="AK240" i="5"/>
  <c r="AO240" i="5"/>
  <c r="J240" i="5" s="1"/>
  <c r="AP240" i="5"/>
  <c r="AX240" i="5" s="1"/>
  <c r="BD240" i="5"/>
  <c r="BF240" i="5"/>
  <c r="BJ240" i="5"/>
  <c r="L242" i="5"/>
  <c r="Z242" i="5"/>
  <c r="AB242" i="5"/>
  <c r="AC242" i="5"/>
  <c r="AF242" i="5"/>
  <c r="AG242" i="5"/>
  <c r="AH242" i="5"/>
  <c r="AJ242" i="5"/>
  <c r="AK242" i="5"/>
  <c r="AL242" i="5"/>
  <c r="AO242" i="5"/>
  <c r="BH242" i="5" s="1"/>
  <c r="AD242" i="5" s="1"/>
  <c r="AP242" i="5"/>
  <c r="K242" i="5" s="1"/>
  <c r="BD242" i="5"/>
  <c r="BF242" i="5"/>
  <c r="BJ242" i="5"/>
  <c r="L244" i="5"/>
  <c r="AL244" i="5"/>
  <c r="Z244" i="5"/>
  <c r="AB244" i="5"/>
  <c r="AC244" i="5"/>
  <c r="AF244" i="5"/>
  <c r="AG244" i="5"/>
  <c r="AH244" i="5"/>
  <c r="AJ244" i="5"/>
  <c r="AK244" i="5"/>
  <c r="AO244" i="5"/>
  <c r="BH244" i="5" s="1"/>
  <c r="AD244" i="5" s="1"/>
  <c r="AP244" i="5"/>
  <c r="K244" i="5" s="1"/>
  <c r="BD244" i="5"/>
  <c r="BF244" i="5"/>
  <c r="BJ244" i="5"/>
  <c r="L247" i="5"/>
  <c r="AL247" i="5" s="1"/>
  <c r="Z247" i="5"/>
  <c r="AB247" i="5"/>
  <c r="AC247" i="5"/>
  <c r="AF247" i="5"/>
  <c r="AG247" i="5"/>
  <c r="AH247" i="5"/>
  <c r="AJ247" i="5"/>
  <c r="AK247" i="5"/>
  <c r="AO247" i="5"/>
  <c r="AP247" i="5"/>
  <c r="AX247" i="5" s="1"/>
  <c r="BD247" i="5"/>
  <c r="BF247" i="5"/>
  <c r="BJ247" i="5"/>
  <c r="L249" i="5"/>
  <c r="AL249" i="5" s="1"/>
  <c r="Z249" i="5"/>
  <c r="AB249" i="5"/>
  <c r="AC249" i="5"/>
  <c r="AF249" i="5"/>
  <c r="AG249" i="5"/>
  <c r="AH249" i="5"/>
  <c r="AJ249" i="5"/>
  <c r="AK249" i="5"/>
  <c r="AO249" i="5"/>
  <c r="J249" i="5" s="1"/>
  <c r="AP249" i="5"/>
  <c r="K249" i="5" s="1"/>
  <c r="AX249" i="5"/>
  <c r="BD249" i="5"/>
  <c r="BF249" i="5"/>
  <c r="BI249" i="5"/>
  <c r="AE249" i="5" s="1"/>
  <c r="BJ249" i="5"/>
  <c r="L251" i="5"/>
  <c r="AL251" i="5" s="1"/>
  <c r="Z251" i="5"/>
  <c r="AB251" i="5"/>
  <c r="AC251" i="5"/>
  <c r="AF251" i="5"/>
  <c r="AG251" i="5"/>
  <c r="AH251" i="5"/>
  <c r="AJ251" i="5"/>
  <c r="AK251" i="5"/>
  <c r="AO251" i="5"/>
  <c r="AW251" i="5" s="1"/>
  <c r="AP251" i="5"/>
  <c r="AX251" i="5" s="1"/>
  <c r="BD251" i="5"/>
  <c r="BF251" i="5"/>
  <c r="BI251" i="5"/>
  <c r="AE251" i="5" s="1"/>
  <c r="BJ251" i="5"/>
  <c r="L253" i="5"/>
  <c r="AL253" i="5" s="1"/>
  <c r="Z253" i="5"/>
  <c r="AB253" i="5"/>
  <c r="AC253" i="5"/>
  <c r="AF253" i="5"/>
  <c r="AG253" i="5"/>
  <c r="AH253" i="5"/>
  <c r="AJ253" i="5"/>
  <c r="AK253" i="5"/>
  <c r="AO253" i="5"/>
  <c r="AW253" i="5" s="1"/>
  <c r="AP253" i="5"/>
  <c r="AX253" i="5" s="1"/>
  <c r="BD253" i="5"/>
  <c r="BF253" i="5"/>
  <c r="BH253" i="5"/>
  <c r="AD253" i="5" s="1"/>
  <c r="BI253" i="5"/>
  <c r="AE253" i="5" s="1"/>
  <c r="BJ253" i="5"/>
  <c r="L255" i="5"/>
  <c r="AL255" i="5" s="1"/>
  <c r="Z255" i="5"/>
  <c r="AB255" i="5"/>
  <c r="AC255" i="5"/>
  <c r="AF255" i="5"/>
  <c r="AG255" i="5"/>
  <c r="AH255" i="5"/>
  <c r="AJ255" i="5"/>
  <c r="AK255" i="5"/>
  <c r="AO255" i="5"/>
  <c r="AW255" i="5" s="1"/>
  <c r="AP255" i="5"/>
  <c r="AX255" i="5" s="1"/>
  <c r="BD255" i="5"/>
  <c r="BF255" i="5"/>
  <c r="BH255" i="5"/>
  <c r="AD255" i="5" s="1"/>
  <c r="BJ255" i="5"/>
  <c r="L258" i="5"/>
  <c r="AL258" i="5" s="1"/>
  <c r="Z258" i="5"/>
  <c r="AB258" i="5"/>
  <c r="AC258" i="5"/>
  <c r="AF258" i="5"/>
  <c r="AG258" i="5"/>
  <c r="AH258" i="5"/>
  <c r="AJ258" i="5"/>
  <c r="AK258" i="5"/>
  <c r="AO258" i="5"/>
  <c r="AW258" i="5" s="1"/>
  <c r="AP258" i="5"/>
  <c r="K258" i="5" s="1"/>
  <c r="BD258" i="5"/>
  <c r="BF258" i="5"/>
  <c r="BH258" i="5"/>
  <c r="AD258" i="5" s="1"/>
  <c r="BJ258" i="5"/>
  <c r="J260" i="5"/>
  <c r="L260" i="5"/>
  <c r="AL260" i="5" s="1"/>
  <c r="Z260" i="5"/>
  <c r="AB260" i="5"/>
  <c r="AC260" i="5"/>
  <c r="AF260" i="5"/>
  <c r="AG260" i="5"/>
  <c r="AH260" i="5"/>
  <c r="AJ260" i="5"/>
  <c r="AK260" i="5"/>
  <c r="AO260" i="5"/>
  <c r="AP260" i="5"/>
  <c r="AW260" i="5"/>
  <c r="BD260" i="5"/>
  <c r="BF260" i="5"/>
  <c r="BH260" i="5"/>
  <c r="AD260" i="5" s="1"/>
  <c r="BJ260" i="5"/>
  <c r="L262" i="5"/>
  <c r="AL262" i="5" s="1"/>
  <c r="Z262" i="5"/>
  <c r="AB262" i="5"/>
  <c r="AC262" i="5"/>
  <c r="AF262" i="5"/>
  <c r="AG262" i="5"/>
  <c r="AH262" i="5"/>
  <c r="AJ262" i="5"/>
  <c r="AK262" i="5"/>
  <c r="AO262" i="5"/>
  <c r="J262" i="5" s="1"/>
  <c r="AP262" i="5"/>
  <c r="AX262" i="5" s="1"/>
  <c r="BD262" i="5"/>
  <c r="BF262" i="5"/>
  <c r="BJ262" i="5"/>
  <c r="L264" i="5"/>
  <c r="AL264" i="5" s="1"/>
  <c r="Z264" i="5"/>
  <c r="AB264" i="5"/>
  <c r="AC264" i="5"/>
  <c r="AF264" i="5"/>
  <c r="AG264" i="5"/>
  <c r="AH264" i="5"/>
  <c r="AJ264" i="5"/>
  <c r="AK264" i="5"/>
  <c r="AO264" i="5"/>
  <c r="AW264" i="5" s="1"/>
  <c r="AP264" i="5"/>
  <c r="AX264" i="5" s="1"/>
  <c r="BD264" i="5"/>
  <c r="BF264" i="5"/>
  <c r="BH264" i="5"/>
  <c r="AD264" i="5" s="1"/>
  <c r="BJ264" i="5"/>
  <c r="J267" i="5"/>
  <c r="L267" i="5"/>
  <c r="AL267" i="5" s="1"/>
  <c r="Z267" i="5"/>
  <c r="AB267" i="5"/>
  <c r="AC267" i="5"/>
  <c r="AF267" i="5"/>
  <c r="AG267" i="5"/>
  <c r="AH267" i="5"/>
  <c r="AJ267" i="5"/>
  <c r="AK267" i="5"/>
  <c r="AO267" i="5"/>
  <c r="AW267" i="5" s="1"/>
  <c r="AP267" i="5"/>
  <c r="AX267" i="5" s="1"/>
  <c r="BD267" i="5"/>
  <c r="BF267" i="5"/>
  <c r="BH267" i="5"/>
  <c r="AD267" i="5" s="1"/>
  <c r="BI267" i="5"/>
  <c r="AE267" i="5" s="1"/>
  <c r="BJ267" i="5"/>
  <c r="L269" i="5"/>
  <c r="AL269" i="5" s="1"/>
  <c r="Z269" i="5"/>
  <c r="AB269" i="5"/>
  <c r="AC269" i="5"/>
  <c r="AF269" i="5"/>
  <c r="AG269" i="5"/>
  <c r="AH269" i="5"/>
  <c r="AJ269" i="5"/>
  <c r="AK269" i="5"/>
  <c r="AO269" i="5"/>
  <c r="AW269" i="5" s="1"/>
  <c r="AP269" i="5"/>
  <c r="BD269" i="5"/>
  <c r="BF269" i="5"/>
  <c r="BJ269" i="5"/>
  <c r="L271" i="5"/>
  <c r="Z271" i="5"/>
  <c r="AB271" i="5"/>
  <c r="AC271" i="5"/>
  <c r="AF271" i="5"/>
  <c r="AG271" i="5"/>
  <c r="AH271" i="5"/>
  <c r="AJ271" i="5"/>
  <c r="AK271" i="5"/>
  <c r="AL271" i="5"/>
  <c r="AO271" i="5"/>
  <c r="AW271" i="5" s="1"/>
  <c r="AP271" i="5"/>
  <c r="AX271" i="5" s="1"/>
  <c r="BD271" i="5"/>
  <c r="BF271" i="5"/>
  <c r="BJ271" i="5"/>
  <c r="K273" i="5"/>
  <c r="L273" i="5"/>
  <c r="Z273" i="5"/>
  <c r="AB273" i="5"/>
  <c r="AC273" i="5"/>
  <c r="AF273" i="5"/>
  <c r="AG273" i="5"/>
  <c r="AH273" i="5"/>
  <c r="AJ273" i="5"/>
  <c r="AK273" i="5"/>
  <c r="AL273" i="5"/>
  <c r="AO273" i="5"/>
  <c r="J273" i="5" s="1"/>
  <c r="AP273" i="5"/>
  <c r="AX273" i="5" s="1"/>
  <c r="BD273" i="5"/>
  <c r="BF273" i="5"/>
  <c r="BH273" i="5"/>
  <c r="AD273" i="5" s="1"/>
  <c r="BJ273" i="5"/>
  <c r="J275" i="5"/>
  <c r="L275" i="5"/>
  <c r="AL275" i="5" s="1"/>
  <c r="Z275" i="5"/>
  <c r="AB275" i="5"/>
  <c r="AC275" i="5"/>
  <c r="AF275" i="5"/>
  <c r="AG275" i="5"/>
  <c r="AH275" i="5"/>
  <c r="AJ275" i="5"/>
  <c r="AK275" i="5"/>
  <c r="AO275" i="5"/>
  <c r="AW275" i="5" s="1"/>
  <c r="AP275" i="5"/>
  <c r="BD275" i="5"/>
  <c r="BF275" i="5"/>
  <c r="BH275" i="5"/>
  <c r="AD275" i="5" s="1"/>
  <c r="BJ275" i="5"/>
  <c r="L277" i="5"/>
  <c r="Z277" i="5"/>
  <c r="AB277" i="5"/>
  <c r="AC277" i="5"/>
  <c r="AF277" i="5"/>
  <c r="AG277" i="5"/>
  <c r="AH277" i="5"/>
  <c r="AJ277" i="5"/>
  <c r="AK277" i="5"/>
  <c r="AL277" i="5"/>
  <c r="AO277" i="5"/>
  <c r="AW277" i="5" s="1"/>
  <c r="AP277" i="5"/>
  <c r="AX277" i="5" s="1"/>
  <c r="BD277" i="5"/>
  <c r="BF277" i="5"/>
  <c r="BI277" i="5"/>
  <c r="AE277" i="5" s="1"/>
  <c r="BJ277" i="5"/>
  <c r="L279" i="5"/>
  <c r="Z279" i="5"/>
  <c r="AB279" i="5"/>
  <c r="AC279" i="5"/>
  <c r="AF279" i="5"/>
  <c r="AG279" i="5"/>
  <c r="AH279" i="5"/>
  <c r="AJ279" i="5"/>
  <c r="AK279" i="5"/>
  <c r="AL279" i="5"/>
  <c r="AO279" i="5"/>
  <c r="AW279" i="5" s="1"/>
  <c r="AP279" i="5"/>
  <c r="AX279" i="5" s="1"/>
  <c r="BD279" i="5"/>
  <c r="BF279" i="5"/>
  <c r="BJ279" i="5"/>
  <c r="K281" i="5"/>
  <c r="L281" i="5"/>
  <c r="Z281" i="5"/>
  <c r="AB281" i="5"/>
  <c r="AC281" i="5"/>
  <c r="AF281" i="5"/>
  <c r="AG281" i="5"/>
  <c r="AH281" i="5"/>
  <c r="AJ281" i="5"/>
  <c r="AK281" i="5"/>
  <c r="AL281" i="5"/>
  <c r="AO281" i="5"/>
  <c r="J281" i="5" s="1"/>
  <c r="AP281" i="5"/>
  <c r="AX281" i="5" s="1"/>
  <c r="BD281" i="5"/>
  <c r="BF281" i="5"/>
  <c r="BH281" i="5"/>
  <c r="AD281" i="5" s="1"/>
  <c r="BJ281" i="5"/>
  <c r="L283" i="5"/>
  <c r="Z283" i="5"/>
  <c r="AB283" i="5"/>
  <c r="AC283" i="5"/>
  <c r="AF283" i="5"/>
  <c r="AG283" i="5"/>
  <c r="AH283" i="5"/>
  <c r="AJ283" i="5"/>
  <c r="AK283" i="5"/>
  <c r="AL283" i="5"/>
  <c r="AO283" i="5"/>
  <c r="AP283" i="5"/>
  <c r="AX283" i="5" s="1"/>
  <c r="BD283" i="5"/>
  <c r="BF283" i="5"/>
  <c r="BJ283" i="5"/>
  <c r="L285" i="5"/>
  <c r="Z285" i="5"/>
  <c r="AB285" i="5"/>
  <c r="AC285" i="5"/>
  <c r="AF285" i="5"/>
  <c r="AG285" i="5"/>
  <c r="AH285" i="5"/>
  <c r="AJ285" i="5"/>
  <c r="AK285" i="5"/>
  <c r="AL285" i="5"/>
  <c r="AO285" i="5"/>
  <c r="AW285" i="5" s="1"/>
  <c r="AP285" i="5"/>
  <c r="K285" i="5" s="1"/>
  <c r="BD285" i="5"/>
  <c r="BF285" i="5"/>
  <c r="BJ285" i="5"/>
  <c r="L287" i="5"/>
  <c r="AL287" i="5" s="1"/>
  <c r="Z287" i="5"/>
  <c r="AB287" i="5"/>
  <c r="AC287" i="5"/>
  <c r="AF287" i="5"/>
  <c r="AG287" i="5"/>
  <c r="AH287" i="5"/>
  <c r="AJ287" i="5"/>
  <c r="AK287" i="5"/>
  <c r="AO287" i="5"/>
  <c r="AW287" i="5" s="1"/>
  <c r="AP287" i="5"/>
  <c r="AX287" i="5" s="1"/>
  <c r="BD287" i="5"/>
  <c r="BF287" i="5"/>
  <c r="BH287" i="5"/>
  <c r="AD287" i="5" s="1"/>
  <c r="BJ287" i="5"/>
  <c r="J289" i="5"/>
  <c r="K289" i="5"/>
  <c r="L289" i="5"/>
  <c r="AL289" i="5" s="1"/>
  <c r="Z289" i="5"/>
  <c r="AB289" i="5"/>
  <c r="AC289" i="5"/>
  <c r="AF289" i="5"/>
  <c r="AG289" i="5"/>
  <c r="AH289" i="5"/>
  <c r="AJ289" i="5"/>
  <c r="AK289" i="5"/>
  <c r="AO289" i="5"/>
  <c r="AP289" i="5"/>
  <c r="AW289" i="5"/>
  <c r="AV289" i="5" s="1"/>
  <c r="AX289" i="5"/>
  <c r="BD289" i="5"/>
  <c r="BF289" i="5"/>
  <c r="BH289" i="5"/>
  <c r="AD289" i="5" s="1"/>
  <c r="BI289" i="5"/>
  <c r="AE289" i="5" s="1"/>
  <c r="BJ289" i="5"/>
  <c r="L291" i="5"/>
  <c r="AL291" i="5"/>
  <c r="Z291" i="5"/>
  <c r="AB291" i="5"/>
  <c r="AC291" i="5"/>
  <c r="AF291" i="5"/>
  <c r="AG291" i="5"/>
  <c r="AH291" i="5"/>
  <c r="AJ291" i="5"/>
  <c r="AK291" i="5"/>
  <c r="AO291" i="5"/>
  <c r="AW291" i="5"/>
  <c r="AP291" i="5"/>
  <c r="AX291" i="5" s="1"/>
  <c r="BD291" i="5"/>
  <c r="BF291" i="5"/>
  <c r="BJ291" i="5"/>
  <c r="L294" i="5"/>
  <c r="Z294" i="5"/>
  <c r="AB294" i="5"/>
  <c r="AC294" i="5"/>
  <c r="AF294" i="5"/>
  <c r="AG294" i="5"/>
  <c r="AH294" i="5"/>
  <c r="AJ294" i="5"/>
  <c r="AK294" i="5"/>
  <c r="AO294" i="5"/>
  <c r="J294" i="5" s="1"/>
  <c r="AP294" i="5"/>
  <c r="K294" i="5" s="1"/>
  <c r="AW294" i="5"/>
  <c r="BD294" i="5"/>
  <c r="BF294" i="5"/>
  <c r="BI294" i="5"/>
  <c r="AE294" i="5" s="1"/>
  <c r="BJ294" i="5"/>
  <c r="K296" i="5"/>
  <c r="L296" i="5"/>
  <c r="Z296" i="5"/>
  <c r="AB296" i="5"/>
  <c r="AC296" i="5"/>
  <c r="AF296" i="5"/>
  <c r="AG296" i="5"/>
  <c r="AH296" i="5"/>
  <c r="AJ296" i="5"/>
  <c r="AK296" i="5"/>
  <c r="AL296" i="5"/>
  <c r="AO296" i="5"/>
  <c r="AW296" i="5" s="1"/>
  <c r="AP296" i="5"/>
  <c r="AX296" i="5" s="1"/>
  <c r="BD296" i="5"/>
  <c r="BF296" i="5"/>
  <c r="BH296" i="5"/>
  <c r="AD296" i="5" s="1"/>
  <c r="BI296" i="5"/>
  <c r="AE296" i="5" s="1"/>
  <c r="BJ296" i="5"/>
  <c r="K298" i="5"/>
  <c r="L298" i="5"/>
  <c r="AL298" i="5" s="1"/>
  <c r="Z298" i="5"/>
  <c r="AB298" i="5"/>
  <c r="AC298" i="5"/>
  <c r="AF298" i="5"/>
  <c r="AG298" i="5"/>
  <c r="AH298" i="5"/>
  <c r="AJ298" i="5"/>
  <c r="AK298" i="5"/>
  <c r="AO298" i="5"/>
  <c r="J298" i="5" s="1"/>
  <c r="AP298" i="5"/>
  <c r="AX298" i="5" s="1"/>
  <c r="BD298" i="5"/>
  <c r="BF298" i="5"/>
  <c r="BH298" i="5"/>
  <c r="AD298" i="5" s="1"/>
  <c r="BJ298" i="5"/>
  <c r="L300" i="5"/>
  <c r="AL300" i="5" s="1"/>
  <c r="Z300" i="5"/>
  <c r="AB300" i="5"/>
  <c r="AC300" i="5"/>
  <c r="AF300" i="5"/>
  <c r="AG300" i="5"/>
  <c r="AH300" i="5"/>
  <c r="AJ300" i="5"/>
  <c r="AK300" i="5"/>
  <c r="AO300" i="5"/>
  <c r="AW300" i="5" s="1"/>
  <c r="AP300" i="5"/>
  <c r="K300" i="5"/>
  <c r="AX300" i="5"/>
  <c r="BD300" i="5"/>
  <c r="BF300" i="5"/>
  <c r="BH300" i="5"/>
  <c r="AD300" i="5" s="1"/>
  <c r="BI300" i="5"/>
  <c r="AE300" i="5" s="1"/>
  <c r="BJ300" i="5"/>
  <c r="L302" i="5"/>
  <c r="AL302" i="5" s="1"/>
  <c r="Z302" i="5"/>
  <c r="AB302" i="5"/>
  <c r="AC302" i="5"/>
  <c r="AF302" i="5"/>
  <c r="AG302" i="5"/>
  <c r="AH302" i="5"/>
  <c r="AJ302" i="5"/>
  <c r="AK302" i="5"/>
  <c r="AO302" i="5"/>
  <c r="AP302" i="5"/>
  <c r="K302" i="5" s="1"/>
  <c r="BD302" i="5"/>
  <c r="BF302" i="5"/>
  <c r="BJ302" i="5"/>
  <c r="L304" i="5"/>
  <c r="Z304" i="5"/>
  <c r="AB304" i="5"/>
  <c r="AC304" i="5"/>
  <c r="AF304" i="5"/>
  <c r="AG304" i="5"/>
  <c r="AH304" i="5"/>
  <c r="AJ304" i="5"/>
  <c r="AK304" i="5"/>
  <c r="AL304" i="5"/>
  <c r="AO304" i="5"/>
  <c r="J304" i="5" s="1"/>
  <c r="AP304" i="5"/>
  <c r="K304" i="5" s="1"/>
  <c r="BD304" i="5"/>
  <c r="BF304" i="5"/>
  <c r="BJ304" i="5"/>
  <c r="L306" i="5"/>
  <c r="AL306" i="5"/>
  <c r="Z306" i="5"/>
  <c r="AB306" i="5"/>
  <c r="AC306" i="5"/>
  <c r="AF306" i="5"/>
  <c r="AG306" i="5"/>
  <c r="AH306" i="5"/>
  <c r="AJ306" i="5"/>
  <c r="AK306" i="5"/>
  <c r="AO306" i="5"/>
  <c r="J306" i="5"/>
  <c r="AP306" i="5"/>
  <c r="AX306" i="5" s="1"/>
  <c r="BD306" i="5"/>
  <c r="BF306" i="5"/>
  <c r="BH306" i="5"/>
  <c r="AD306" i="5" s="1"/>
  <c r="BI306" i="5"/>
  <c r="AE306" i="5" s="1"/>
  <c r="BJ306" i="5"/>
  <c r="K308" i="5"/>
  <c r="L308" i="5"/>
  <c r="Z308" i="5"/>
  <c r="AB308" i="5"/>
  <c r="AC308" i="5"/>
  <c r="AF308" i="5"/>
  <c r="AG308" i="5"/>
  <c r="AH308" i="5"/>
  <c r="AJ308" i="5"/>
  <c r="AK308" i="5"/>
  <c r="AO308" i="5"/>
  <c r="J308" i="5" s="1"/>
  <c r="AP308" i="5"/>
  <c r="AX308" i="5"/>
  <c r="BD308" i="5"/>
  <c r="BF308" i="5"/>
  <c r="BH308" i="5"/>
  <c r="AD308" i="5" s="1"/>
  <c r="BI308" i="5"/>
  <c r="AE308" i="5" s="1"/>
  <c r="BJ308" i="5"/>
  <c r="L310" i="5"/>
  <c r="AL310" i="5" s="1"/>
  <c r="Z310" i="5"/>
  <c r="AB310" i="5"/>
  <c r="AC310" i="5"/>
  <c r="AF310" i="5"/>
  <c r="AG310" i="5"/>
  <c r="AH310" i="5"/>
  <c r="AJ310" i="5"/>
  <c r="AK310" i="5"/>
  <c r="AO310" i="5"/>
  <c r="BH310" i="5" s="1"/>
  <c r="AD310" i="5" s="1"/>
  <c r="AP310" i="5"/>
  <c r="BI310" i="5" s="1"/>
  <c r="AE310" i="5" s="1"/>
  <c r="BD310" i="5"/>
  <c r="BF310" i="5"/>
  <c r="BJ310" i="5"/>
  <c r="L312" i="5"/>
  <c r="AL312" i="5" s="1"/>
  <c r="Z312" i="5"/>
  <c r="AB312" i="5"/>
  <c r="AC312" i="5"/>
  <c r="AF312" i="5"/>
  <c r="AG312" i="5"/>
  <c r="AH312" i="5"/>
  <c r="AJ312" i="5"/>
  <c r="AK312" i="5"/>
  <c r="AO312" i="5"/>
  <c r="AW312" i="5"/>
  <c r="AP312" i="5"/>
  <c r="AX312" i="5" s="1"/>
  <c r="BD312" i="5"/>
  <c r="BF312" i="5"/>
  <c r="BH312" i="5"/>
  <c r="AD312" i="5" s="1"/>
  <c r="BJ312" i="5"/>
  <c r="L314" i="5"/>
  <c r="Z314" i="5"/>
  <c r="AB314" i="5"/>
  <c r="AC314" i="5"/>
  <c r="AF314" i="5"/>
  <c r="AG314" i="5"/>
  <c r="AH314" i="5"/>
  <c r="AJ314" i="5"/>
  <c r="AK314" i="5"/>
  <c r="AL314" i="5"/>
  <c r="AO314" i="5"/>
  <c r="BH314" i="5" s="1"/>
  <c r="AD314" i="5" s="1"/>
  <c r="AP314" i="5"/>
  <c r="BD314" i="5"/>
  <c r="BF314" i="5"/>
  <c r="BJ314" i="5"/>
  <c r="L316" i="5"/>
  <c r="AL316" i="5" s="1"/>
  <c r="Z316" i="5"/>
  <c r="AB316" i="5"/>
  <c r="AC316" i="5"/>
  <c r="AF316" i="5"/>
  <c r="AG316" i="5"/>
  <c r="AH316" i="5"/>
  <c r="AJ316" i="5"/>
  <c r="AK316" i="5"/>
  <c r="AO316" i="5"/>
  <c r="BH316" i="5" s="1"/>
  <c r="AD316" i="5" s="1"/>
  <c r="AP316" i="5"/>
  <c r="AX316" i="5" s="1"/>
  <c r="BD316" i="5"/>
  <c r="BF316" i="5"/>
  <c r="BI316" i="5"/>
  <c r="AE316" i="5" s="1"/>
  <c r="BJ316" i="5"/>
  <c r="L318" i="5"/>
  <c r="AL318" i="5" s="1"/>
  <c r="Z318" i="5"/>
  <c r="AB318" i="5"/>
  <c r="AC318" i="5"/>
  <c r="AF318" i="5"/>
  <c r="AG318" i="5"/>
  <c r="AH318" i="5"/>
  <c r="AJ318" i="5"/>
  <c r="AK318" i="5"/>
  <c r="AO318" i="5"/>
  <c r="J318" i="5" s="1"/>
  <c r="AP318" i="5"/>
  <c r="AW318" i="5"/>
  <c r="BD318" i="5"/>
  <c r="BF318" i="5"/>
  <c r="BH318" i="5"/>
  <c r="AD318" i="5" s="1"/>
  <c r="BJ318" i="5"/>
  <c r="K320" i="5"/>
  <c r="L320" i="5"/>
  <c r="AL320" i="5" s="1"/>
  <c r="Z320" i="5"/>
  <c r="AB320" i="5"/>
  <c r="AC320" i="5"/>
  <c r="AF320" i="5"/>
  <c r="AG320" i="5"/>
  <c r="AH320" i="5"/>
  <c r="AJ320" i="5"/>
  <c r="AK320" i="5"/>
  <c r="AO320" i="5"/>
  <c r="BH320" i="5" s="1"/>
  <c r="AD320" i="5" s="1"/>
  <c r="AP320" i="5"/>
  <c r="AX320" i="5" s="1"/>
  <c r="BD320" i="5"/>
  <c r="BF320" i="5"/>
  <c r="BI320" i="5"/>
  <c r="AE320" i="5" s="1"/>
  <c r="BJ320" i="5"/>
  <c r="L322" i="5"/>
  <c r="AL322" i="5" s="1"/>
  <c r="Z322" i="5"/>
  <c r="AB322" i="5"/>
  <c r="AC322" i="5"/>
  <c r="AF322" i="5"/>
  <c r="AG322" i="5"/>
  <c r="AH322" i="5"/>
  <c r="AJ322" i="5"/>
  <c r="AK322" i="5"/>
  <c r="AO322" i="5"/>
  <c r="J322" i="5" s="1"/>
  <c r="AP322" i="5"/>
  <c r="BI322" i="5" s="1"/>
  <c r="AE322" i="5" s="1"/>
  <c r="AW322" i="5"/>
  <c r="AV322" i="5" s="1"/>
  <c r="AX322" i="5"/>
  <c r="BD322" i="5"/>
  <c r="BF322" i="5"/>
  <c r="BH322" i="5"/>
  <c r="AD322" i="5" s="1"/>
  <c r="BJ322" i="5"/>
  <c r="L324" i="5"/>
  <c r="AL324" i="5" s="1"/>
  <c r="Z324" i="5"/>
  <c r="AB324" i="5"/>
  <c r="AC324" i="5"/>
  <c r="AF324" i="5"/>
  <c r="AG324" i="5"/>
  <c r="AH324" i="5"/>
  <c r="AJ324" i="5"/>
  <c r="AK324" i="5"/>
  <c r="AO324" i="5"/>
  <c r="BH324" i="5" s="1"/>
  <c r="AD324" i="5" s="1"/>
  <c r="AP324" i="5"/>
  <c r="BD324" i="5"/>
  <c r="BF324" i="5"/>
  <c r="BJ324" i="5"/>
  <c r="L326" i="5"/>
  <c r="AL326" i="5" s="1"/>
  <c r="Z326" i="5"/>
  <c r="AB326" i="5"/>
  <c r="AC326" i="5"/>
  <c r="AF326" i="5"/>
  <c r="AG326" i="5"/>
  <c r="AH326" i="5"/>
  <c r="AJ326" i="5"/>
  <c r="AK326" i="5"/>
  <c r="AO326" i="5"/>
  <c r="BH326" i="5" s="1"/>
  <c r="AD326" i="5" s="1"/>
  <c r="AP326" i="5"/>
  <c r="AX326" i="5" s="1"/>
  <c r="BD326" i="5"/>
  <c r="BF326" i="5"/>
  <c r="BJ326" i="5"/>
  <c r="L328" i="5"/>
  <c r="AL328" i="5" s="1"/>
  <c r="Z328" i="5"/>
  <c r="AB328" i="5"/>
  <c r="AC328" i="5"/>
  <c r="AF328" i="5"/>
  <c r="AG328" i="5"/>
  <c r="AH328" i="5"/>
  <c r="AJ328" i="5"/>
  <c r="AK328" i="5"/>
  <c r="AO328" i="5"/>
  <c r="J328" i="5" s="1"/>
  <c r="AP328" i="5"/>
  <c r="BI328" i="5" s="1"/>
  <c r="AE328" i="5" s="1"/>
  <c r="K328" i="5"/>
  <c r="AX328" i="5"/>
  <c r="BD328" i="5"/>
  <c r="BF328" i="5"/>
  <c r="BJ328" i="5"/>
  <c r="L330" i="5"/>
  <c r="Z330" i="5"/>
  <c r="AB330" i="5"/>
  <c r="AC330" i="5"/>
  <c r="AF330" i="5"/>
  <c r="AG330" i="5"/>
  <c r="AH330" i="5"/>
  <c r="AJ330" i="5"/>
  <c r="AK330" i="5"/>
  <c r="AL330" i="5"/>
  <c r="AO330" i="5"/>
  <c r="BH330" i="5" s="1"/>
  <c r="AD330" i="5" s="1"/>
  <c r="J330" i="5"/>
  <c r="AP330" i="5"/>
  <c r="BI330" i="5" s="1"/>
  <c r="AE330" i="5" s="1"/>
  <c r="BD330" i="5"/>
  <c r="BF330" i="5"/>
  <c r="BJ330" i="5"/>
  <c r="L332" i="5"/>
  <c r="Z332" i="5"/>
  <c r="AB332" i="5"/>
  <c r="AC332" i="5"/>
  <c r="AF332" i="5"/>
  <c r="AG332" i="5"/>
  <c r="AH332" i="5"/>
  <c r="AJ332" i="5"/>
  <c r="AK332" i="5"/>
  <c r="AL332" i="5"/>
  <c r="AO332" i="5"/>
  <c r="BH332" i="5" s="1"/>
  <c r="AD332" i="5" s="1"/>
  <c r="J332" i="5"/>
  <c r="AP332" i="5"/>
  <c r="BI332" i="5" s="1"/>
  <c r="AE332" i="5" s="1"/>
  <c r="BD332" i="5"/>
  <c r="BF332" i="5"/>
  <c r="BJ332" i="5"/>
  <c r="L334" i="5"/>
  <c r="Z334" i="5"/>
  <c r="AB334" i="5"/>
  <c r="AC334" i="5"/>
  <c r="AF334" i="5"/>
  <c r="AG334" i="5"/>
  <c r="AH334" i="5"/>
  <c r="AJ334" i="5"/>
  <c r="AK334" i="5"/>
  <c r="AL334" i="5"/>
  <c r="AO334" i="5"/>
  <c r="BH334" i="5" s="1"/>
  <c r="AD334" i="5" s="1"/>
  <c r="AP334" i="5"/>
  <c r="K334" i="5" s="1"/>
  <c r="BD334" i="5"/>
  <c r="BF334" i="5"/>
  <c r="BJ334" i="5"/>
  <c r="L336" i="5"/>
  <c r="AL336" i="5" s="1"/>
  <c r="Z336" i="5"/>
  <c r="AB336" i="5"/>
  <c r="AC336" i="5"/>
  <c r="AF336" i="5"/>
  <c r="AG336" i="5"/>
  <c r="AH336" i="5"/>
  <c r="AJ336" i="5"/>
  <c r="AK336" i="5"/>
  <c r="AO336" i="5"/>
  <c r="J336" i="5" s="1"/>
  <c r="AP336" i="5"/>
  <c r="K336" i="5" s="1"/>
  <c r="BD336" i="5"/>
  <c r="BF336" i="5"/>
  <c r="BJ336" i="5"/>
  <c r="L338" i="5"/>
  <c r="AL338" i="5" s="1"/>
  <c r="Z338" i="5"/>
  <c r="AB338" i="5"/>
  <c r="AC338" i="5"/>
  <c r="AF338" i="5"/>
  <c r="AG338" i="5"/>
  <c r="AH338" i="5"/>
  <c r="AJ338" i="5"/>
  <c r="AK338" i="5"/>
  <c r="AO338" i="5"/>
  <c r="BH338" i="5" s="1"/>
  <c r="AD338" i="5" s="1"/>
  <c r="J338" i="5"/>
  <c r="AP338" i="5"/>
  <c r="BI338" i="5" s="1"/>
  <c r="AE338" i="5" s="1"/>
  <c r="K338" i="5"/>
  <c r="BD338" i="5"/>
  <c r="BF338" i="5"/>
  <c r="BJ338" i="5"/>
  <c r="L340" i="5"/>
  <c r="Z340" i="5"/>
  <c r="AB340" i="5"/>
  <c r="AC340" i="5"/>
  <c r="AF340" i="5"/>
  <c r="AG340" i="5"/>
  <c r="AH340" i="5"/>
  <c r="AJ340" i="5"/>
  <c r="AK340" i="5"/>
  <c r="AL340" i="5"/>
  <c r="AO340" i="5"/>
  <c r="AP340" i="5"/>
  <c r="BI340" i="5" s="1"/>
  <c r="AE340" i="5" s="1"/>
  <c r="AW340" i="5"/>
  <c r="BD340" i="5"/>
  <c r="BF340" i="5"/>
  <c r="BJ340" i="5"/>
  <c r="L342" i="5"/>
  <c r="AL342" i="5" s="1"/>
  <c r="Z342" i="5"/>
  <c r="AB342" i="5"/>
  <c r="AC342" i="5"/>
  <c r="AF342" i="5"/>
  <c r="AG342" i="5"/>
  <c r="AH342" i="5"/>
  <c r="AJ342" i="5"/>
  <c r="AK342" i="5"/>
  <c r="AO342" i="5"/>
  <c r="J342" i="5" s="1"/>
  <c r="AP342" i="5"/>
  <c r="AX342" i="5" s="1"/>
  <c r="BD342" i="5"/>
  <c r="BF342" i="5"/>
  <c r="BJ342" i="5"/>
  <c r="L344" i="5"/>
  <c r="Z344" i="5"/>
  <c r="AB344" i="5"/>
  <c r="AC344" i="5"/>
  <c r="AF344" i="5"/>
  <c r="AG344" i="5"/>
  <c r="AH344" i="5"/>
  <c r="AJ344" i="5"/>
  <c r="AK344" i="5"/>
  <c r="AL344" i="5"/>
  <c r="AO344" i="5"/>
  <c r="BH344" i="5" s="1"/>
  <c r="AD344" i="5" s="1"/>
  <c r="J344" i="5"/>
  <c r="AP344" i="5"/>
  <c r="BI344" i="5" s="1"/>
  <c r="AE344" i="5" s="1"/>
  <c r="BD344" i="5"/>
  <c r="BF344" i="5"/>
  <c r="BJ344" i="5"/>
  <c r="L346" i="5"/>
  <c r="Z346" i="5"/>
  <c r="AB346" i="5"/>
  <c r="AC346" i="5"/>
  <c r="AF346" i="5"/>
  <c r="AG346" i="5"/>
  <c r="AH346" i="5"/>
  <c r="AJ346" i="5"/>
  <c r="AK346" i="5"/>
  <c r="AL346" i="5"/>
  <c r="AO346" i="5"/>
  <c r="J346" i="5" s="1"/>
  <c r="AP346" i="5"/>
  <c r="BI346" i="5" s="1"/>
  <c r="AE346" i="5" s="1"/>
  <c r="BD346" i="5"/>
  <c r="BF346" i="5"/>
  <c r="BJ346" i="5"/>
  <c r="L348" i="5"/>
  <c r="AL348" i="5" s="1"/>
  <c r="Z348" i="5"/>
  <c r="AB348" i="5"/>
  <c r="AC348" i="5"/>
  <c r="AF348" i="5"/>
  <c r="AG348" i="5"/>
  <c r="AH348" i="5"/>
  <c r="AJ348" i="5"/>
  <c r="AK348" i="5"/>
  <c r="AO348" i="5"/>
  <c r="AW348" i="5" s="1"/>
  <c r="AP348" i="5"/>
  <c r="BI348" i="5" s="1"/>
  <c r="AE348" i="5" s="1"/>
  <c r="K348" i="5"/>
  <c r="AX348" i="5"/>
  <c r="BD348" i="5"/>
  <c r="BF348" i="5"/>
  <c r="BJ348" i="5"/>
  <c r="L350" i="5"/>
  <c r="AL350" i="5" s="1"/>
  <c r="Z350" i="5"/>
  <c r="AB350" i="5"/>
  <c r="AC350" i="5"/>
  <c r="AF350" i="5"/>
  <c r="AG350" i="5"/>
  <c r="AH350" i="5"/>
  <c r="AJ350" i="5"/>
  <c r="AK350" i="5"/>
  <c r="AO350" i="5"/>
  <c r="AW350" i="5" s="1"/>
  <c r="AP350" i="5"/>
  <c r="BI350" i="5" s="1"/>
  <c r="AE350" i="5" s="1"/>
  <c r="AX350" i="5"/>
  <c r="BD350" i="5"/>
  <c r="BF350" i="5"/>
  <c r="BJ350" i="5"/>
  <c r="L352" i="5"/>
  <c r="AL352" i="5" s="1"/>
  <c r="Z352" i="5"/>
  <c r="AB352" i="5"/>
  <c r="AC352" i="5"/>
  <c r="AF352" i="5"/>
  <c r="AG352" i="5"/>
  <c r="AH352" i="5"/>
  <c r="AJ352" i="5"/>
  <c r="AK352" i="5"/>
  <c r="AO352" i="5"/>
  <c r="BH352" i="5" s="1"/>
  <c r="AD352" i="5" s="1"/>
  <c r="AP352" i="5"/>
  <c r="K352" i="5" s="1"/>
  <c r="AW352" i="5"/>
  <c r="BD352" i="5"/>
  <c r="BF352" i="5"/>
  <c r="BJ352" i="5"/>
  <c r="L354" i="5"/>
  <c r="AL354" i="5" s="1"/>
  <c r="Z354" i="5"/>
  <c r="AB354" i="5"/>
  <c r="AC354" i="5"/>
  <c r="AF354" i="5"/>
  <c r="AG354" i="5"/>
  <c r="AH354" i="5"/>
  <c r="AJ354" i="5"/>
  <c r="AK354" i="5"/>
  <c r="AO354" i="5"/>
  <c r="J354" i="5" s="1"/>
  <c r="AP354" i="5"/>
  <c r="BI354" i="5" s="1"/>
  <c r="AE354" i="5" s="1"/>
  <c r="BD354" i="5"/>
  <c r="BF354" i="5"/>
  <c r="BH354" i="5"/>
  <c r="AD354" i="5" s="1"/>
  <c r="BJ354" i="5"/>
  <c r="L356" i="5"/>
  <c r="AL356" i="5" s="1"/>
  <c r="Z356" i="5"/>
  <c r="AB356" i="5"/>
  <c r="AC356" i="5"/>
  <c r="AF356" i="5"/>
  <c r="AG356" i="5"/>
  <c r="AH356" i="5"/>
  <c r="AJ356" i="5"/>
  <c r="AK356" i="5"/>
  <c r="AO356" i="5"/>
  <c r="J356" i="5" s="1"/>
  <c r="AP356" i="5"/>
  <c r="BI356" i="5" s="1"/>
  <c r="AE356" i="5" s="1"/>
  <c r="BD356" i="5"/>
  <c r="BF356" i="5"/>
  <c r="BJ356" i="5"/>
  <c r="L358" i="5"/>
  <c r="AL358" i="5"/>
  <c r="Z358" i="5"/>
  <c r="AB358" i="5"/>
  <c r="AC358" i="5"/>
  <c r="AF358" i="5"/>
  <c r="AG358" i="5"/>
  <c r="AH358" i="5"/>
  <c r="AJ358" i="5"/>
  <c r="AK358" i="5"/>
  <c r="AO358" i="5"/>
  <c r="BH358" i="5" s="1"/>
  <c r="AD358" i="5" s="1"/>
  <c r="J358" i="5"/>
  <c r="AP358" i="5"/>
  <c r="BI358" i="5" s="1"/>
  <c r="AE358" i="5" s="1"/>
  <c r="BD358" i="5"/>
  <c r="BF358" i="5"/>
  <c r="BJ358" i="5"/>
  <c r="L360" i="5"/>
  <c r="AL360" i="5" s="1"/>
  <c r="Z360" i="5"/>
  <c r="AB360" i="5"/>
  <c r="AC360" i="5"/>
  <c r="AF360" i="5"/>
  <c r="AG360" i="5"/>
  <c r="AH360" i="5"/>
  <c r="AJ360" i="5"/>
  <c r="AK360" i="5"/>
  <c r="AO360" i="5"/>
  <c r="BH360" i="5" s="1"/>
  <c r="AD360" i="5" s="1"/>
  <c r="AP360" i="5"/>
  <c r="BI360" i="5" s="1"/>
  <c r="AE360" i="5" s="1"/>
  <c r="BD360" i="5"/>
  <c r="BF360" i="5"/>
  <c r="BJ360" i="5"/>
  <c r="L362" i="5"/>
  <c r="AL362" i="5" s="1"/>
  <c r="Z362" i="5"/>
  <c r="AB362" i="5"/>
  <c r="AC362" i="5"/>
  <c r="AF362" i="5"/>
  <c r="AG362" i="5"/>
  <c r="AH362" i="5"/>
  <c r="AJ362" i="5"/>
  <c r="AK362" i="5"/>
  <c r="AO362" i="5"/>
  <c r="BH362" i="5" s="1"/>
  <c r="AD362" i="5" s="1"/>
  <c r="AP362" i="5"/>
  <c r="K362" i="5" s="1"/>
  <c r="BD362" i="5"/>
  <c r="BF362" i="5"/>
  <c r="BJ362" i="5"/>
  <c r="L364" i="5"/>
  <c r="AL364" i="5" s="1"/>
  <c r="Z364" i="5"/>
  <c r="AB364" i="5"/>
  <c r="AC364" i="5"/>
  <c r="AF364" i="5"/>
  <c r="AG364" i="5"/>
  <c r="AH364" i="5"/>
  <c r="AJ364" i="5"/>
  <c r="AK364" i="5"/>
  <c r="AO364" i="5"/>
  <c r="AW364" i="5" s="1"/>
  <c r="AP364" i="5"/>
  <c r="AX364" i="5" s="1"/>
  <c r="BD364" i="5"/>
  <c r="BF364" i="5"/>
  <c r="BJ364" i="5"/>
  <c r="L366" i="5"/>
  <c r="Z366" i="5"/>
  <c r="AB366" i="5"/>
  <c r="AC366" i="5"/>
  <c r="AF366" i="5"/>
  <c r="AG366" i="5"/>
  <c r="AH366" i="5"/>
  <c r="AJ366" i="5"/>
  <c r="AK366" i="5"/>
  <c r="AL366" i="5"/>
  <c r="AO366" i="5"/>
  <c r="BH366" i="5" s="1"/>
  <c r="AD366" i="5" s="1"/>
  <c r="AP366" i="5"/>
  <c r="BD366" i="5"/>
  <c r="BF366" i="5"/>
  <c r="BJ366" i="5"/>
  <c r="L368" i="5"/>
  <c r="Z368" i="5"/>
  <c r="AB368" i="5"/>
  <c r="AC368" i="5"/>
  <c r="AF368" i="5"/>
  <c r="AG368" i="5"/>
  <c r="AH368" i="5"/>
  <c r="AJ368" i="5"/>
  <c r="AK368" i="5"/>
  <c r="AL368" i="5"/>
  <c r="AO368" i="5"/>
  <c r="BH368" i="5" s="1"/>
  <c r="AD368" i="5" s="1"/>
  <c r="AP368" i="5"/>
  <c r="K368" i="5" s="1"/>
  <c r="BD368" i="5"/>
  <c r="BF368" i="5"/>
  <c r="BJ368" i="5"/>
  <c r="L370" i="5"/>
  <c r="AL370" i="5"/>
  <c r="Z370" i="5"/>
  <c r="AB370" i="5"/>
  <c r="AC370" i="5"/>
  <c r="AF370" i="5"/>
  <c r="AG370" i="5"/>
  <c r="AH370" i="5"/>
  <c r="AJ370" i="5"/>
  <c r="AK370" i="5"/>
  <c r="AO370" i="5"/>
  <c r="J370" i="5" s="1"/>
  <c r="AP370" i="5"/>
  <c r="AX370" i="5" s="1"/>
  <c r="BD370" i="5"/>
  <c r="BF370" i="5"/>
  <c r="BJ370" i="5"/>
  <c r="L372" i="5"/>
  <c r="Z372" i="5"/>
  <c r="AB372" i="5"/>
  <c r="AC372" i="5"/>
  <c r="AF372" i="5"/>
  <c r="AG372" i="5"/>
  <c r="AH372" i="5"/>
  <c r="AJ372" i="5"/>
  <c r="AK372" i="5"/>
  <c r="AL372" i="5"/>
  <c r="AO372" i="5"/>
  <c r="BH372" i="5" s="1"/>
  <c r="AD372" i="5" s="1"/>
  <c r="AW372" i="5"/>
  <c r="AP372" i="5"/>
  <c r="BI372" i="5" s="1"/>
  <c r="AE372" i="5" s="1"/>
  <c r="BD372" i="5"/>
  <c r="BF372" i="5"/>
  <c r="BJ372" i="5"/>
  <c r="L374" i="5"/>
  <c r="Z374" i="5"/>
  <c r="AB374" i="5"/>
  <c r="AC374" i="5"/>
  <c r="AF374" i="5"/>
  <c r="AG374" i="5"/>
  <c r="AH374" i="5"/>
  <c r="AJ374" i="5"/>
  <c r="AK374" i="5"/>
  <c r="AL374" i="5"/>
  <c r="AO374" i="5"/>
  <c r="BH374" i="5"/>
  <c r="AD374" i="5" s="1"/>
  <c r="AP374" i="5"/>
  <c r="BI374" i="5" s="1"/>
  <c r="AE374" i="5" s="1"/>
  <c r="BD374" i="5"/>
  <c r="BF374" i="5"/>
  <c r="BJ374" i="5"/>
  <c r="L376" i="5"/>
  <c r="Z376" i="5"/>
  <c r="AB376" i="5"/>
  <c r="AC376" i="5"/>
  <c r="AF376" i="5"/>
  <c r="AG376" i="5"/>
  <c r="AH376" i="5"/>
  <c r="AJ376" i="5"/>
  <c r="AK376" i="5"/>
  <c r="AL376" i="5"/>
  <c r="AO376" i="5"/>
  <c r="BH376" i="5" s="1"/>
  <c r="AD376" i="5" s="1"/>
  <c r="AP376" i="5"/>
  <c r="BI376" i="5" s="1"/>
  <c r="AE376" i="5" s="1"/>
  <c r="BD376" i="5"/>
  <c r="BF376" i="5"/>
  <c r="BJ376" i="5"/>
  <c r="L378" i="5"/>
  <c r="Z378" i="5"/>
  <c r="AB378" i="5"/>
  <c r="AC378" i="5"/>
  <c r="AF378" i="5"/>
  <c r="AG378" i="5"/>
  <c r="AH378" i="5"/>
  <c r="AJ378" i="5"/>
  <c r="AK378" i="5"/>
  <c r="AL378" i="5"/>
  <c r="AO378" i="5"/>
  <c r="BH378" i="5" s="1"/>
  <c r="AD378" i="5" s="1"/>
  <c r="AP378" i="5"/>
  <c r="K378" i="5" s="1"/>
  <c r="BD378" i="5"/>
  <c r="BF378" i="5"/>
  <c r="BJ378" i="5"/>
  <c r="L380" i="5"/>
  <c r="AL380" i="5" s="1"/>
  <c r="Z380" i="5"/>
  <c r="AB380" i="5"/>
  <c r="AC380" i="5"/>
  <c r="AF380" i="5"/>
  <c r="AG380" i="5"/>
  <c r="AH380" i="5"/>
  <c r="AJ380" i="5"/>
  <c r="AK380" i="5"/>
  <c r="AO380" i="5"/>
  <c r="AW380" i="5" s="1"/>
  <c r="J380" i="5"/>
  <c r="AP380" i="5"/>
  <c r="AX380" i="5" s="1"/>
  <c r="BD380" i="5"/>
  <c r="BF380" i="5"/>
  <c r="BJ380" i="5"/>
  <c r="K382" i="5"/>
  <c r="L382" i="5"/>
  <c r="AL382" i="5" s="1"/>
  <c r="Z382" i="5"/>
  <c r="AB382" i="5"/>
  <c r="AC382" i="5"/>
  <c r="AF382" i="5"/>
  <c r="AG382" i="5"/>
  <c r="AH382" i="5"/>
  <c r="AJ382" i="5"/>
  <c r="AK382" i="5"/>
  <c r="AO382" i="5"/>
  <c r="AW382" i="5" s="1"/>
  <c r="AP382" i="5"/>
  <c r="AX382" i="5" s="1"/>
  <c r="BD382" i="5"/>
  <c r="BF382" i="5"/>
  <c r="BI382" i="5"/>
  <c r="AE382" i="5" s="1"/>
  <c r="BJ382" i="5"/>
  <c r="J384" i="5"/>
  <c r="L384" i="5"/>
  <c r="AL384" i="5" s="1"/>
  <c r="Z384" i="5"/>
  <c r="AB384" i="5"/>
  <c r="AC384" i="5"/>
  <c r="AF384" i="5"/>
  <c r="AG384" i="5"/>
  <c r="AH384" i="5"/>
  <c r="AJ384" i="5"/>
  <c r="AK384" i="5"/>
  <c r="AO384" i="5"/>
  <c r="BH384" i="5" s="1"/>
  <c r="AD384" i="5" s="1"/>
  <c r="AP384" i="5"/>
  <c r="K384" i="5" s="1"/>
  <c r="AX384" i="5"/>
  <c r="BD384" i="5"/>
  <c r="BF384" i="5"/>
  <c r="BI384" i="5"/>
  <c r="AE384" i="5" s="1"/>
  <c r="BJ384" i="5"/>
  <c r="L386" i="5"/>
  <c r="Z386" i="5"/>
  <c r="AB386" i="5"/>
  <c r="AC386" i="5"/>
  <c r="AF386" i="5"/>
  <c r="AG386" i="5"/>
  <c r="AH386" i="5"/>
  <c r="AJ386" i="5"/>
  <c r="AK386" i="5"/>
  <c r="AL386" i="5"/>
  <c r="AO386" i="5"/>
  <c r="BH386" i="5" s="1"/>
  <c r="AD386" i="5" s="1"/>
  <c r="J386" i="5"/>
  <c r="AP386" i="5"/>
  <c r="BI386" i="5" s="1"/>
  <c r="AE386" i="5" s="1"/>
  <c r="BD386" i="5"/>
  <c r="BF386" i="5"/>
  <c r="BJ386" i="5"/>
  <c r="L388" i="5"/>
  <c r="Z388" i="5"/>
  <c r="AB388" i="5"/>
  <c r="AC388" i="5"/>
  <c r="AF388" i="5"/>
  <c r="AG388" i="5"/>
  <c r="AH388" i="5"/>
  <c r="AJ388" i="5"/>
  <c r="AK388" i="5"/>
  <c r="AL388" i="5"/>
  <c r="AO388" i="5"/>
  <c r="AW388" i="5" s="1"/>
  <c r="AP388" i="5"/>
  <c r="K388" i="5" s="1"/>
  <c r="BD388" i="5"/>
  <c r="BF388" i="5"/>
  <c r="BJ388" i="5"/>
  <c r="L390" i="5"/>
  <c r="AL390" i="5" s="1"/>
  <c r="Z390" i="5"/>
  <c r="AB390" i="5"/>
  <c r="AC390" i="5"/>
  <c r="AF390" i="5"/>
  <c r="AG390" i="5"/>
  <c r="AH390" i="5"/>
  <c r="AJ390" i="5"/>
  <c r="AK390" i="5"/>
  <c r="AO390" i="5"/>
  <c r="BH390" i="5" s="1"/>
  <c r="AD390" i="5" s="1"/>
  <c r="AP390" i="5"/>
  <c r="AX390" i="5" s="1"/>
  <c r="BD390" i="5"/>
  <c r="BF390" i="5"/>
  <c r="BJ390" i="5"/>
  <c r="K392" i="5"/>
  <c r="L392" i="5"/>
  <c r="AL392" i="5" s="1"/>
  <c r="Z392" i="5"/>
  <c r="AB392" i="5"/>
  <c r="AC392" i="5"/>
  <c r="AF392" i="5"/>
  <c r="AG392" i="5"/>
  <c r="AH392" i="5"/>
  <c r="AJ392" i="5"/>
  <c r="AK392" i="5"/>
  <c r="AO392" i="5"/>
  <c r="AW392" i="5" s="1"/>
  <c r="AP392" i="5"/>
  <c r="BI392" i="5" s="1"/>
  <c r="AE392" i="5" s="1"/>
  <c r="BD392" i="5"/>
  <c r="BF392" i="5"/>
  <c r="BJ392" i="5"/>
  <c r="K394" i="5"/>
  <c r="L394" i="5"/>
  <c r="AL394" i="5" s="1"/>
  <c r="Z394" i="5"/>
  <c r="AB394" i="5"/>
  <c r="AC394" i="5"/>
  <c r="AF394" i="5"/>
  <c r="AG394" i="5"/>
  <c r="AH394" i="5"/>
  <c r="AJ394" i="5"/>
  <c r="AK394" i="5"/>
  <c r="AO394" i="5"/>
  <c r="J394" i="5" s="1"/>
  <c r="AP394" i="5"/>
  <c r="AX394" i="5" s="1"/>
  <c r="BD394" i="5"/>
  <c r="BF394" i="5"/>
  <c r="BH394" i="5"/>
  <c r="AD394" i="5" s="1"/>
  <c r="BI394" i="5"/>
  <c r="AE394" i="5"/>
  <c r="BJ394" i="5"/>
  <c r="L396" i="5"/>
  <c r="AL396" i="5" s="1"/>
  <c r="Z396" i="5"/>
  <c r="AB396" i="5"/>
  <c r="AC396" i="5"/>
  <c r="AF396" i="5"/>
  <c r="AG396" i="5"/>
  <c r="AH396" i="5"/>
  <c r="AJ396" i="5"/>
  <c r="AK396" i="5"/>
  <c r="AO396" i="5"/>
  <c r="BH396" i="5" s="1"/>
  <c r="AD396" i="5" s="1"/>
  <c r="AP396" i="5"/>
  <c r="BI396" i="5" s="1"/>
  <c r="AE396" i="5" s="1"/>
  <c r="AW396" i="5"/>
  <c r="BD396" i="5"/>
  <c r="BF396" i="5"/>
  <c r="BJ396" i="5"/>
  <c r="L399" i="5"/>
  <c r="Z399" i="5"/>
  <c r="AD399" i="5"/>
  <c r="AE399" i="5"/>
  <c r="AF399" i="5"/>
  <c r="AG399" i="5"/>
  <c r="AH399" i="5"/>
  <c r="AJ399" i="5"/>
  <c r="AK399" i="5"/>
  <c r="AO399" i="5"/>
  <c r="BH399" i="5" s="1"/>
  <c r="AB399" i="5" s="1"/>
  <c r="AW399" i="5"/>
  <c r="AP399" i="5"/>
  <c r="BI399" i="5" s="1"/>
  <c r="AC399" i="5" s="1"/>
  <c r="K399" i="5"/>
  <c r="BD399" i="5"/>
  <c r="BF399" i="5"/>
  <c r="BJ399" i="5"/>
  <c r="L401" i="5"/>
  <c r="AL401" i="5" s="1"/>
  <c r="Z401" i="5"/>
  <c r="AD401" i="5"/>
  <c r="AE401" i="5"/>
  <c r="AF401" i="5"/>
  <c r="AG401" i="5"/>
  <c r="AH401" i="5"/>
  <c r="AJ401" i="5"/>
  <c r="AK401" i="5"/>
  <c r="AO401" i="5"/>
  <c r="J401" i="5" s="1"/>
  <c r="AP401" i="5"/>
  <c r="K401" i="5" s="1"/>
  <c r="BD401" i="5"/>
  <c r="BF401" i="5"/>
  <c r="BI401" i="5"/>
  <c r="AC401" i="5" s="1"/>
  <c r="BJ401" i="5"/>
  <c r="J403" i="5"/>
  <c r="L403" i="5"/>
  <c r="L398" i="5" s="1"/>
  <c r="L38" i="4" s="1"/>
  <c r="N38" i="4" s="1"/>
  <c r="Z403" i="5"/>
  <c r="AD403" i="5"/>
  <c r="AE403" i="5"/>
  <c r="AF403" i="5"/>
  <c r="AG403" i="5"/>
  <c r="AH403" i="5"/>
  <c r="AJ403" i="5"/>
  <c r="AK403" i="5"/>
  <c r="AO403" i="5"/>
  <c r="AW403" i="5" s="1"/>
  <c r="AP403" i="5"/>
  <c r="BI403" i="5" s="1"/>
  <c r="AC403" i="5" s="1"/>
  <c r="K403" i="5"/>
  <c r="BD403" i="5"/>
  <c r="BF403" i="5"/>
  <c r="BH403" i="5"/>
  <c r="AB403" i="5" s="1"/>
  <c r="BJ403" i="5"/>
  <c r="L405" i="5"/>
  <c r="AL405" i="5" s="1"/>
  <c r="Z405" i="5"/>
  <c r="AD405" i="5"/>
  <c r="AE405" i="5"/>
  <c r="AF405" i="5"/>
  <c r="AG405" i="5"/>
  <c r="AH405" i="5"/>
  <c r="AJ405" i="5"/>
  <c r="AK405" i="5"/>
  <c r="AO405" i="5"/>
  <c r="BH405" i="5" s="1"/>
  <c r="AB405" i="5" s="1"/>
  <c r="J405" i="5"/>
  <c r="AP405" i="5"/>
  <c r="BI405" i="5" s="1"/>
  <c r="AC405" i="5" s="1"/>
  <c r="BD405" i="5"/>
  <c r="BF405" i="5"/>
  <c r="BJ405" i="5"/>
  <c r="J407" i="5"/>
  <c r="L407" i="5"/>
  <c r="AL407" i="5" s="1"/>
  <c r="Z407" i="5"/>
  <c r="AD407" i="5"/>
  <c r="AE407" i="5"/>
  <c r="AF407" i="5"/>
  <c r="AG407" i="5"/>
  <c r="AH407" i="5"/>
  <c r="AJ407" i="5"/>
  <c r="AK407" i="5"/>
  <c r="AO407" i="5"/>
  <c r="BH407" i="5" s="1"/>
  <c r="AB407" i="5" s="1"/>
  <c r="AP407" i="5"/>
  <c r="BI407" i="5" s="1"/>
  <c r="AC407" i="5" s="1"/>
  <c r="BD407" i="5"/>
  <c r="BF407" i="5"/>
  <c r="BJ407" i="5"/>
  <c r="J409" i="5"/>
  <c r="L409" i="5"/>
  <c r="AL409" i="5" s="1"/>
  <c r="Z409" i="5"/>
  <c r="AD409" i="5"/>
  <c r="AE409" i="5"/>
  <c r="AF409" i="5"/>
  <c r="AG409" i="5"/>
  <c r="AH409" i="5"/>
  <c r="AJ409" i="5"/>
  <c r="AK409" i="5"/>
  <c r="AO409" i="5"/>
  <c r="AP409" i="5"/>
  <c r="BI409" i="5" s="1"/>
  <c r="AC409" i="5" s="1"/>
  <c r="K409" i="5"/>
  <c r="AW409" i="5"/>
  <c r="BD409" i="5"/>
  <c r="BF409" i="5"/>
  <c r="BH409" i="5"/>
  <c r="AB409" i="5" s="1"/>
  <c r="BJ409" i="5"/>
  <c r="L411" i="5"/>
  <c r="Z411" i="5"/>
  <c r="AD411" i="5"/>
  <c r="AE411" i="5"/>
  <c r="AF411" i="5"/>
  <c r="AG411" i="5"/>
  <c r="AH411" i="5"/>
  <c r="AJ411" i="5"/>
  <c r="AK411" i="5"/>
  <c r="AL411" i="5"/>
  <c r="AO411" i="5"/>
  <c r="BH411" i="5" s="1"/>
  <c r="AB411" i="5" s="1"/>
  <c r="J411" i="5"/>
  <c r="AP411" i="5"/>
  <c r="BI411" i="5" s="1"/>
  <c r="AC411" i="5" s="1"/>
  <c r="BD411" i="5"/>
  <c r="BF411" i="5"/>
  <c r="BJ411" i="5"/>
  <c r="L415" i="5"/>
  <c r="Z415" i="5"/>
  <c r="AB415" i="5"/>
  <c r="AC415" i="5"/>
  <c r="AF415" i="5"/>
  <c r="AG415" i="5"/>
  <c r="AH415" i="5"/>
  <c r="AJ415" i="5"/>
  <c r="AK415" i="5"/>
  <c r="AO415" i="5"/>
  <c r="J415" i="5" s="1"/>
  <c r="AP415" i="5"/>
  <c r="K415" i="5" s="1"/>
  <c r="AW415" i="5"/>
  <c r="AX415" i="5"/>
  <c r="BD415" i="5"/>
  <c r="BF415" i="5"/>
  <c r="BH415" i="5"/>
  <c r="AD415" i="5" s="1"/>
  <c r="BJ415" i="5"/>
  <c r="K417" i="5"/>
  <c r="L417" i="5"/>
  <c r="AL417" i="5" s="1"/>
  <c r="Z417" i="5"/>
  <c r="AB417" i="5"/>
  <c r="AC417" i="5"/>
  <c r="AF417" i="5"/>
  <c r="AG417" i="5"/>
  <c r="AH417" i="5"/>
  <c r="AJ417" i="5"/>
  <c r="AK417" i="5"/>
  <c r="AO417" i="5"/>
  <c r="AW417" i="5" s="1"/>
  <c r="AP417" i="5"/>
  <c r="AX417" i="5" s="1"/>
  <c r="BD417" i="5"/>
  <c r="BF417" i="5"/>
  <c r="BI417" i="5"/>
  <c r="AE417" i="5" s="1"/>
  <c r="BJ417" i="5"/>
  <c r="J419" i="5"/>
  <c r="L419" i="5"/>
  <c r="AL419" i="5" s="1"/>
  <c r="Z419" i="5"/>
  <c r="AB419" i="5"/>
  <c r="AC419" i="5"/>
  <c r="AF419" i="5"/>
  <c r="AG419" i="5"/>
  <c r="AH419" i="5"/>
  <c r="AJ419" i="5"/>
  <c r="AK419" i="5"/>
  <c r="AT414" i="5" s="1"/>
  <c r="AO419" i="5"/>
  <c r="AW419" i="5" s="1"/>
  <c r="AP419" i="5"/>
  <c r="K419" i="5"/>
  <c r="BD419" i="5"/>
  <c r="BF419" i="5"/>
  <c r="BH419" i="5"/>
  <c r="AD419" i="5" s="1"/>
  <c r="BI419" i="5"/>
  <c r="AE419" i="5" s="1"/>
  <c r="BJ419" i="5"/>
  <c r="L422" i="5"/>
  <c r="AL422" i="5" s="1"/>
  <c r="Z422" i="5"/>
  <c r="AB422" i="5"/>
  <c r="AC422" i="5"/>
  <c r="AF422" i="5"/>
  <c r="AG422" i="5"/>
  <c r="AH422" i="5"/>
  <c r="AJ422" i="5"/>
  <c r="AK422" i="5"/>
  <c r="AO422" i="5"/>
  <c r="BH422" i="5" s="1"/>
  <c r="AD422" i="5" s="1"/>
  <c r="AP422" i="5"/>
  <c r="AX422" i="5" s="1"/>
  <c r="AW422" i="5"/>
  <c r="BD422" i="5"/>
  <c r="BF422" i="5"/>
  <c r="BI422" i="5"/>
  <c r="AE422" i="5" s="1"/>
  <c r="BJ422" i="5"/>
  <c r="J424" i="5"/>
  <c r="L424" i="5"/>
  <c r="AL424" i="5" s="1"/>
  <c r="Z424" i="5"/>
  <c r="AB424" i="5"/>
  <c r="AC424" i="5"/>
  <c r="AF424" i="5"/>
  <c r="AG424" i="5"/>
  <c r="AH424" i="5"/>
  <c r="AJ424" i="5"/>
  <c r="AK424" i="5"/>
  <c r="AT421" i="5" s="1"/>
  <c r="AO424" i="5"/>
  <c r="AW424" i="5" s="1"/>
  <c r="AP424" i="5"/>
  <c r="AX424" i="5" s="1"/>
  <c r="BD424" i="5"/>
  <c r="BF424" i="5"/>
  <c r="BH424" i="5"/>
  <c r="AD424" i="5" s="1"/>
  <c r="BI424" i="5"/>
  <c r="AE424" i="5" s="1"/>
  <c r="BJ424" i="5"/>
  <c r="L426" i="5"/>
  <c r="AL426" i="5" s="1"/>
  <c r="Z426" i="5"/>
  <c r="AB426" i="5"/>
  <c r="AC426" i="5"/>
  <c r="AF426" i="5"/>
  <c r="AG426" i="5"/>
  <c r="AH426" i="5"/>
  <c r="AJ426" i="5"/>
  <c r="AK426" i="5"/>
  <c r="AO426" i="5"/>
  <c r="AW426" i="5" s="1"/>
  <c r="AP426" i="5"/>
  <c r="AX426" i="5" s="1"/>
  <c r="BD426" i="5"/>
  <c r="BF426" i="5"/>
  <c r="BI426" i="5"/>
  <c r="AE426" i="5" s="1"/>
  <c r="BJ426" i="5"/>
  <c r="L428" i="5"/>
  <c r="AL428" i="5" s="1"/>
  <c r="Z428" i="5"/>
  <c r="AB428" i="5"/>
  <c r="AC428" i="5"/>
  <c r="AF428" i="5"/>
  <c r="AG428" i="5"/>
  <c r="AH428" i="5"/>
  <c r="AJ428" i="5"/>
  <c r="AK428" i="5"/>
  <c r="AO428" i="5"/>
  <c r="BH428" i="5" s="1"/>
  <c r="AD428" i="5" s="1"/>
  <c r="AP428" i="5"/>
  <c r="AX428" i="5" s="1"/>
  <c r="BD428" i="5"/>
  <c r="BF428" i="5"/>
  <c r="BI428" i="5"/>
  <c r="AE428" i="5" s="1"/>
  <c r="BJ428" i="5"/>
  <c r="L430" i="5"/>
  <c r="AL430" i="5" s="1"/>
  <c r="Z430" i="5"/>
  <c r="AB430" i="5"/>
  <c r="AC430" i="5"/>
  <c r="AF430" i="5"/>
  <c r="AG430" i="5"/>
  <c r="AH430" i="5"/>
  <c r="AJ430" i="5"/>
  <c r="AK430" i="5"/>
  <c r="AO430" i="5"/>
  <c r="AW430" i="5" s="1"/>
  <c r="AP430" i="5"/>
  <c r="AX430" i="5" s="1"/>
  <c r="BD430" i="5"/>
  <c r="BF430" i="5"/>
  <c r="BH430" i="5"/>
  <c r="AD430" i="5" s="1"/>
  <c r="BI430" i="5"/>
  <c r="AE430" i="5" s="1"/>
  <c r="BJ430" i="5"/>
  <c r="J433" i="5"/>
  <c r="L433" i="5"/>
  <c r="AL433" i="5" s="1"/>
  <c r="Z433" i="5"/>
  <c r="AB433" i="5"/>
  <c r="AC433" i="5"/>
  <c r="AF433" i="5"/>
  <c r="AG433" i="5"/>
  <c r="AH433" i="5"/>
  <c r="AJ433" i="5"/>
  <c r="AK433" i="5"/>
  <c r="AO433" i="5"/>
  <c r="AW433" i="5" s="1"/>
  <c r="AP433" i="5"/>
  <c r="AX433" i="5" s="1"/>
  <c r="BD433" i="5"/>
  <c r="BF433" i="5"/>
  <c r="BH433" i="5"/>
  <c r="AD433" i="5" s="1"/>
  <c r="BI433" i="5"/>
  <c r="AE433" i="5" s="1"/>
  <c r="BJ433" i="5"/>
  <c r="L435" i="5"/>
  <c r="AL435" i="5" s="1"/>
  <c r="Z435" i="5"/>
  <c r="AB435" i="5"/>
  <c r="AC435" i="5"/>
  <c r="AF435" i="5"/>
  <c r="AG435" i="5"/>
  <c r="AH435" i="5"/>
  <c r="AJ435" i="5"/>
  <c r="AK435" i="5"/>
  <c r="AO435" i="5"/>
  <c r="AW435" i="5" s="1"/>
  <c r="AP435" i="5"/>
  <c r="AX435" i="5" s="1"/>
  <c r="BD435" i="5"/>
  <c r="BF435" i="5"/>
  <c r="BH435" i="5"/>
  <c r="AD435" i="5" s="1"/>
  <c r="BJ435" i="5"/>
  <c r="L437" i="5"/>
  <c r="AL437" i="5" s="1"/>
  <c r="Z437" i="5"/>
  <c r="AB437" i="5"/>
  <c r="AC437" i="5"/>
  <c r="AF437" i="5"/>
  <c r="AG437" i="5"/>
  <c r="AH437" i="5"/>
  <c r="AJ437" i="5"/>
  <c r="AK437" i="5"/>
  <c r="AO437" i="5"/>
  <c r="AW437" i="5" s="1"/>
  <c r="AP437" i="5"/>
  <c r="AX437" i="5" s="1"/>
  <c r="BD437" i="5"/>
  <c r="BF437" i="5"/>
  <c r="BJ437" i="5"/>
  <c r="L439" i="5"/>
  <c r="Z439" i="5"/>
  <c r="AB439" i="5"/>
  <c r="AC439" i="5"/>
  <c r="AF439" i="5"/>
  <c r="AG439" i="5"/>
  <c r="AH439" i="5"/>
  <c r="AJ439" i="5"/>
  <c r="AK439" i="5"/>
  <c r="AT432" i="5" s="1"/>
  <c r="AL439" i="5"/>
  <c r="AO439" i="5"/>
  <c r="AW439" i="5" s="1"/>
  <c r="AP439" i="5"/>
  <c r="K439" i="5" s="1"/>
  <c r="BD439" i="5"/>
  <c r="BF439" i="5"/>
  <c r="BI439" i="5"/>
  <c r="AE439" i="5" s="1"/>
  <c r="BJ439" i="5"/>
  <c r="J442" i="5"/>
  <c r="L442" i="5"/>
  <c r="AL442" i="5" s="1"/>
  <c r="Z442" i="5"/>
  <c r="AB442" i="5"/>
  <c r="AC442" i="5"/>
  <c r="AF442" i="5"/>
  <c r="AG442" i="5"/>
  <c r="AH442" i="5"/>
  <c r="AJ442" i="5"/>
  <c r="AK442" i="5"/>
  <c r="AO442" i="5"/>
  <c r="AW442" i="5" s="1"/>
  <c r="AP442" i="5"/>
  <c r="BI442" i="5" s="1"/>
  <c r="AE442" i="5" s="1"/>
  <c r="BD442" i="5"/>
  <c r="BF442" i="5"/>
  <c r="BH442" i="5"/>
  <c r="AD442" i="5" s="1"/>
  <c r="BJ442" i="5"/>
  <c r="K444" i="5"/>
  <c r="L444" i="5"/>
  <c r="AL444" i="5" s="1"/>
  <c r="Z444" i="5"/>
  <c r="AB444" i="5"/>
  <c r="AC444" i="5"/>
  <c r="AF444" i="5"/>
  <c r="AG444" i="5"/>
  <c r="AH444" i="5"/>
  <c r="AJ444" i="5"/>
  <c r="AK444" i="5"/>
  <c r="AO444" i="5"/>
  <c r="AW444" i="5" s="1"/>
  <c r="AP444" i="5"/>
  <c r="AX444" i="5" s="1"/>
  <c r="BD444" i="5"/>
  <c r="BF444" i="5"/>
  <c r="BH444" i="5"/>
  <c r="AD444" i="5" s="1"/>
  <c r="BI444" i="5"/>
  <c r="AE444" i="5" s="1"/>
  <c r="BJ444" i="5"/>
  <c r="L446" i="5"/>
  <c r="AL446" i="5" s="1"/>
  <c r="Z446" i="5"/>
  <c r="AB446" i="5"/>
  <c r="AC446" i="5"/>
  <c r="AF446" i="5"/>
  <c r="AG446" i="5"/>
  <c r="AH446" i="5"/>
  <c r="AJ446" i="5"/>
  <c r="AK446" i="5"/>
  <c r="AO446" i="5"/>
  <c r="J446" i="5" s="1"/>
  <c r="AP446" i="5"/>
  <c r="AX446" i="5" s="1"/>
  <c r="AW446" i="5"/>
  <c r="BD446" i="5"/>
  <c r="BF446" i="5"/>
  <c r="BJ446" i="5"/>
  <c r="K448" i="5"/>
  <c r="L448" i="5"/>
  <c r="AL448" i="5" s="1"/>
  <c r="Z448" i="5"/>
  <c r="AB448" i="5"/>
  <c r="AC448" i="5"/>
  <c r="AF448" i="5"/>
  <c r="AG448" i="5"/>
  <c r="AH448" i="5"/>
  <c r="AJ448" i="5"/>
  <c r="AK448" i="5"/>
  <c r="AO448" i="5"/>
  <c r="AW448" i="5" s="1"/>
  <c r="AP448" i="5"/>
  <c r="AX448" i="5" s="1"/>
  <c r="BD448" i="5"/>
  <c r="BF448" i="5"/>
  <c r="BH448" i="5"/>
  <c r="AD448" i="5" s="1"/>
  <c r="BI448" i="5"/>
  <c r="AE448" i="5" s="1"/>
  <c r="BJ448" i="5"/>
  <c r="K450" i="5"/>
  <c r="L450" i="5"/>
  <c r="AL450" i="5" s="1"/>
  <c r="Z450" i="5"/>
  <c r="AB450" i="5"/>
  <c r="AC450" i="5"/>
  <c r="AF450" i="5"/>
  <c r="AG450" i="5"/>
  <c r="AH450" i="5"/>
  <c r="AJ450" i="5"/>
  <c r="AK450" i="5"/>
  <c r="AO450" i="5"/>
  <c r="AW450" i="5" s="1"/>
  <c r="AP450" i="5"/>
  <c r="AX450" i="5" s="1"/>
  <c r="BD450" i="5"/>
  <c r="BF450" i="5"/>
  <c r="BH450" i="5"/>
  <c r="AD450" i="5" s="1"/>
  <c r="BI450" i="5"/>
  <c r="AE450" i="5" s="1"/>
  <c r="BJ450" i="5"/>
  <c r="L452" i="5"/>
  <c r="Z452" i="5"/>
  <c r="AB452" i="5"/>
  <c r="AC452" i="5"/>
  <c r="AF452" i="5"/>
  <c r="AG452" i="5"/>
  <c r="AH452" i="5"/>
  <c r="AJ452" i="5"/>
  <c r="AK452" i="5"/>
  <c r="AL452" i="5"/>
  <c r="AO452" i="5"/>
  <c r="J452" i="5" s="1"/>
  <c r="AP452" i="5"/>
  <c r="AX452" i="5" s="1"/>
  <c r="AW452" i="5"/>
  <c r="BD452" i="5"/>
  <c r="BF452" i="5"/>
  <c r="BJ452" i="5"/>
  <c r="J454" i="5"/>
  <c r="L454" i="5"/>
  <c r="Z454" i="5"/>
  <c r="AB454" i="5"/>
  <c r="AC454" i="5"/>
  <c r="AF454" i="5"/>
  <c r="AG454" i="5"/>
  <c r="AH454" i="5"/>
  <c r="AJ454" i="5"/>
  <c r="AK454" i="5"/>
  <c r="AL454" i="5"/>
  <c r="AO454" i="5"/>
  <c r="AW454" i="5" s="1"/>
  <c r="AP454" i="5"/>
  <c r="AX454" i="5" s="1"/>
  <c r="BD454" i="5"/>
  <c r="BF454" i="5"/>
  <c r="BH454" i="5"/>
  <c r="AD454" i="5" s="1"/>
  <c r="BI454" i="5"/>
  <c r="AE454" i="5" s="1"/>
  <c r="BJ454" i="5"/>
  <c r="L456" i="5"/>
  <c r="AL456" i="5" s="1"/>
  <c r="Z456" i="5"/>
  <c r="AB456" i="5"/>
  <c r="AC456" i="5"/>
  <c r="AF456" i="5"/>
  <c r="AG456" i="5"/>
  <c r="AH456" i="5"/>
  <c r="AJ456" i="5"/>
  <c r="AK456" i="5"/>
  <c r="AO456" i="5"/>
  <c r="J456" i="5" s="1"/>
  <c r="AP456" i="5"/>
  <c r="AX456" i="5" s="1"/>
  <c r="AW456" i="5"/>
  <c r="BD456" i="5"/>
  <c r="BF456" i="5"/>
  <c r="BH456" i="5"/>
  <c r="AD456" i="5" s="1"/>
  <c r="BJ456" i="5"/>
  <c r="K458" i="5"/>
  <c r="L458" i="5"/>
  <c r="AL458" i="5" s="1"/>
  <c r="Z458" i="5"/>
  <c r="AB458" i="5"/>
  <c r="AC458" i="5"/>
  <c r="AF458" i="5"/>
  <c r="AG458" i="5"/>
  <c r="AH458" i="5"/>
  <c r="AJ458" i="5"/>
  <c r="AK458" i="5"/>
  <c r="AO458" i="5"/>
  <c r="AW458" i="5" s="1"/>
  <c r="AP458" i="5"/>
  <c r="AX458" i="5"/>
  <c r="BD458" i="5"/>
  <c r="BF458" i="5"/>
  <c r="BI458" i="5"/>
  <c r="AE458" i="5" s="1"/>
  <c r="BJ458" i="5"/>
  <c r="L460" i="5"/>
  <c r="AL460" i="5" s="1"/>
  <c r="Z460" i="5"/>
  <c r="AB460" i="5"/>
  <c r="AC460" i="5"/>
  <c r="AF460" i="5"/>
  <c r="AG460" i="5"/>
  <c r="AH460" i="5"/>
  <c r="AJ460" i="5"/>
  <c r="AK460" i="5"/>
  <c r="AO460" i="5"/>
  <c r="AW460" i="5" s="1"/>
  <c r="AP460" i="5"/>
  <c r="AX460" i="5" s="1"/>
  <c r="BD460" i="5"/>
  <c r="BF460" i="5"/>
  <c r="BI460" i="5"/>
  <c r="AE460" i="5" s="1"/>
  <c r="BJ460" i="5"/>
  <c r="L462" i="5"/>
  <c r="AL462" i="5" s="1"/>
  <c r="Z462" i="5"/>
  <c r="AB462" i="5"/>
  <c r="AC462" i="5"/>
  <c r="AF462" i="5"/>
  <c r="AG462" i="5"/>
  <c r="AH462" i="5"/>
  <c r="AJ462" i="5"/>
  <c r="AK462" i="5"/>
  <c r="AO462" i="5"/>
  <c r="AW462" i="5" s="1"/>
  <c r="AP462" i="5"/>
  <c r="AX462" i="5" s="1"/>
  <c r="BD462" i="5"/>
  <c r="BF462" i="5"/>
  <c r="BI462" i="5"/>
  <c r="AE462" i="5" s="1"/>
  <c r="BJ462" i="5"/>
  <c r="L464" i="5"/>
  <c r="AL464" i="5" s="1"/>
  <c r="Z464" i="5"/>
  <c r="AB464" i="5"/>
  <c r="AC464" i="5"/>
  <c r="AF464" i="5"/>
  <c r="AG464" i="5"/>
  <c r="AH464" i="5"/>
  <c r="AJ464" i="5"/>
  <c r="AK464" i="5"/>
  <c r="AO464" i="5"/>
  <c r="AW464" i="5" s="1"/>
  <c r="AP464" i="5"/>
  <c r="AX464" i="5" s="1"/>
  <c r="BD464" i="5"/>
  <c r="BF464" i="5"/>
  <c r="BI464" i="5"/>
  <c r="AE464" i="5" s="1"/>
  <c r="BJ464" i="5"/>
  <c r="J466" i="5"/>
  <c r="K466" i="5"/>
  <c r="L466" i="5"/>
  <c r="Z466" i="5"/>
  <c r="AB466" i="5"/>
  <c r="AC466" i="5"/>
  <c r="AF466" i="5"/>
  <c r="AG466" i="5"/>
  <c r="AH466" i="5"/>
  <c r="AJ466" i="5"/>
  <c r="AK466" i="5"/>
  <c r="AL466" i="5"/>
  <c r="AO466" i="5"/>
  <c r="BH466" i="5" s="1"/>
  <c r="AD466" i="5" s="1"/>
  <c r="AP466" i="5"/>
  <c r="AX466" i="5"/>
  <c r="BD466" i="5"/>
  <c r="BF466" i="5"/>
  <c r="BI466" i="5"/>
  <c r="AE466" i="5" s="1"/>
  <c r="BJ466" i="5"/>
  <c r="L469" i="5"/>
  <c r="Z469" i="5"/>
  <c r="AB469" i="5"/>
  <c r="AC469" i="5"/>
  <c r="AF469" i="5"/>
  <c r="AG469" i="5"/>
  <c r="AH469" i="5"/>
  <c r="AJ469" i="5"/>
  <c r="AK469" i="5"/>
  <c r="AL469" i="5"/>
  <c r="AO469" i="5"/>
  <c r="AW469" i="5" s="1"/>
  <c r="AP469" i="5"/>
  <c r="AX469" i="5" s="1"/>
  <c r="BD469" i="5"/>
  <c r="BF469" i="5"/>
  <c r="BJ469" i="5"/>
  <c r="L471" i="5"/>
  <c r="Z471" i="5"/>
  <c r="AB471" i="5"/>
  <c r="AC471" i="5"/>
  <c r="AF471" i="5"/>
  <c r="AG471" i="5"/>
  <c r="AH471" i="5"/>
  <c r="AJ471" i="5"/>
  <c r="AK471" i="5"/>
  <c r="AL471" i="5"/>
  <c r="AO471" i="5"/>
  <c r="BH471" i="5" s="1"/>
  <c r="AD471" i="5" s="1"/>
  <c r="AP471" i="5"/>
  <c r="AX471" i="5" s="1"/>
  <c r="BD471" i="5"/>
  <c r="BF471" i="5"/>
  <c r="BJ471" i="5"/>
  <c r="L473" i="5"/>
  <c r="Z473" i="5"/>
  <c r="AB473" i="5"/>
  <c r="AC473" i="5"/>
  <c r="AF473" i="5"/>
  <c r="AG473" i="5"/>
  <c r="AH473" i="5"/>
  <c r="AJ473" i="5"/>
  <c r="AK473" i="5"/>
  <c r="AL473" i="5"/>
  <c r="AO473" i="5"/>
  <c r="AW473" i="5" s="1"/>
  <c r="AP473" i="5"/>
  <c r="BI473" i="5" s="1"/>
  <c r="AE473" i="5" s="1"/>
  <c r="AX473" i="5"/>
  <c r="BD473" i="5"/>
  <c r="BF473" i="5"/>
  <c r="BJ473" i="5"/>
  <c r="L475" i="5"/>
  <c r="AL475" i="5" s="1"/>
  <c r="Z475" i="5"/>
  <c r="AB475" i="5"/>
  <c r="AC475" i="5"/>
  <c r="AF475" i="5"/>
  <c r="AG475" i="5"/>
  <c r="AH475" i="5"/>
  <c r="AJ475" i="5"/>
  <c r="AK475" i="5"/>
  <c r="AO475" i="5"/>
  <c r="BH475" i="5" s="1"/>
  <c r="AD475" i="5" s="1"/>
  <c r="J475" i="5"/>
  <c r="AP475" i="5"/>
  <c r="BI475" i="5" s="1"/>
  <c r="AE475" i="5" s="1"/>
  <c r="BD475" i="5"/>
  <c r="BF475" i="5"/>
  <c r="BJ475" i="5"/>
  <c r="J477" i="5"/>
  <c r="L477" i="5"/>
  <c r="AL477" i="5" s="1"/>
  <c r="Z477" i="5"/>
  <c r="AB477" i="5"/>
  <c r="AC477" i="5"/>
  <c r="AF477" i="5"/>
  <c r="AG477" i="5"/>
  <c r="AH477" i="5"/>
  <c r="AJ477" i="5"/>
  <c r="AK477" i="5"/>
  <c r="AO477" i="5"/>
  <c r="AW477" i="5" s="1"/>
  <c r="AP477" i="5"/>
  <c r="K477" i="5" s="1"/>
  <c r="BD477" i="5"/>
  <c r="BF477" i="5"/>
  <c r="BJ477" i="5"/>
  <c r="L479" i="5"/>
  <c r="AL479" i="5" s="1"/>
  <c r="Z479" i="5"/>
  <c r="AB479" i="5"/>
  <c r="AC479" i="5"/>
  <c r="AF479" i="5"/>
  <c r="AG479" i="5"/>
  <c r="AH479" i="5"/>
  <c r="AJ479" i="5"/>
  <c r="AK479" i="5"/>
  <c r="AO479" i="5"/>
  <c r="BH479" i="5" s="1"/>
  <c r="AD479" i="5" s="1"/>
  <c r="AP479" i="5"/>
  <c r="K479" i="5" s="1"/>
  <c r="BD479" i="5"/>
  <c r="BF479" i="5"/>
  <c r="BJ479" i="5"/>
  <c r="J481" i="5"/>
  <c r="L481" i="5"/>
  <c r="AL481" i="5" s="1"/>
  <c r="Z481" i="5"/>
  <c r="AB481" i="5"/>
  <c r="AC481" i="5"/>
  <c r="AF481" i="5"/>
  <c r="AG481" i="5"/>
  <c r="AH481" i="5"/>
  <c r="AJ481" i="5"/>
  <c r="AK481" i="5"/>
  <c r="AO481" i="5"/>
  <c r="BH481" i="5" s="1"/>
  <c r="AD481" i="5" s="1"/>
  <c r="AP481" i="5"/>
  <c r="AX481" i="5" s="1"/>
  <c r="BC481" i="5" s="1"/>
  <c r="AW481" i="5"/>
  <c r="BD481" i="5"/>
  <c r="BF481" i="5"/>
  <c r="BJ481" i="5"/>
  <c r="K483" i="5"/>
  <c r="L483" i="5"/>
  <c r="AL483" i="5" s="1"/>
  <c r="Z483" i="5"/>
  <c r="AB483" i="5"/>
  <c r="AC483" i="5"/>
  <c r="AF483" i="5"/>
  <c r="AG483" i="5"/>
  <c r="AH483" i="5"/>
  <c r="AJ483" i="5"/>
  <c r="AK483" i="5"/>
  <c r="AO483" i="5"/>
  <c r="BH483" i="5" s="1"/>
  <c r="AD483" i="5" s="1"/>
  <c r="AP483" i="5"/>
  <c r="AX483" i="5"/>
  <c r="BD483" i="5"/>
  <c r="BF483" i="5"/>
  <c r="BI483" i="5"/>
  <c r="AE483" i="5"/>
  <c r="BJ483" i="5"/>
  <c r="L485" i="5"/>
  <c r="AL485" i="5"/>
  <c r="Z485" i="5"/>
  <c r="AB485" i="5"/>
  <c r="AC485" i="5"/>
  <c r="AF485" i="5"/>
  <c r="AG485" i="5"/>
  <c r="AH485" i="5"/>
  <c r="AJ485" i="5"/>
  <c r="AK485" i="5"/>
  <c r="AO485" i="5"/>
  <c r="AW485" i="5" s="1"/>
  <c r="AP485" i="5"/>
  <c r="AX485" i="5" s="1"/>
  <c r="BD485" i="5"/>
  <c r="BF485" i="5"/>
  <c r="BJ485" i="5"/>
  <c r="L487" i="5"/>
  <c r="Z487" i="5"/>
  <c r="AB487" i="5"/>
  <c r="AC487" i="5"/>
  <c r="AF487" i="5"/>
  <c r="AG487" i="5"/>
  <c r="AH487" i="5"/>
  <c r="AJ487" i="5"/>
  <c r="AK487" i="5"/>
  <c r="AO487" i="5"/>
  <c r="J487" i="5" s="1"/>
  <c r="AP487" i="5"/>
  <c r="K487" i="5" s="1"/>
  <c r="BD487" i="5"/>
  <c r="BF487" i="5"/>
  <c r="BJ487" i="5"/>
  <c r="L489" i="5"/>
  <c r="AL489" i="5" s="1"/>
  <c r="Z489" i="5"/>
  <c r="AB489" i="5"/>
  <c r="AC489" i="5"/>
  <c r="AF489" i="5"/>
  <c r="AG489" i="5"/>
  <c r="AH489" i="5"/>
  <c r="AJ489" i="5"/>
  <c r="AK489" i="5"/>
  <c r="AO489" i="5"/>
  <c r="BH489" i="5" s="1"/>
  <c r="AD489" i="5" s="1"/>
  <c r="AP489" i="5"/>
  <c r="K489" i="5" s="1"/>
  <c r="BD489" i="5"/>
  <c r="BF489" i="5"/>
  <c r="BI489" i="5"/>
  <c r="AE489" i="5" s="1"/>
  <c r="BJ489" i="5"/>
  <c r="L491" i="5"/>
  <c r="AL491" i="5"/>
  <c r="Z491" i="5"/>
  <c r="AB491" i="5"/>
  <c r="AC491" i="5"/>
  <c r="AF491" i="5"/>
  <c r="AG491" i="5"/>
  <c r="AH491" i="5"/>
  <c r="AJ491" i="5"/>
  <c r="AK491" i="5"/>
  <c r="AO491" i="5"/>
  <c r="BH491" i="5" s="1"/>
  <c r="AD491" i="5" s="1"/>
  <c r="AP491" i="5"/>
  <c r="AX491" i="5" s="1"/>
  <c r="BD491" i="5"/>
  <c r="BF491" i="5"/>
  <c r="BI491" i="5"/>
  <c r="AE491" i="5" s="1"/>
  <c r="BJ491" i="5"/>
  <c r="L493" i="5"/>
  <c r="AL493" i="5" s="1"/>
  <c r="Z493" i="5"/>
  <c r="AB493" i="5"/>
  <c r="AC493" i="5"/>
  <c r="AF493" i="5"/>
  <c r="AG493" i="5"/>
  <c r="AH493" i="5"/>
  <c r="AJ493" i="5"/>
  <c r="AK493" i="5"/>
  <c r="AO493" i="5"/>
  <c r="J493" i="5" s="1"/>
  <c r="AP493" i="5"/>
  <c r="AX493" i="5" s="1"/>
  <c r="BD493" i="5"/>
  <c r="BF493" i="5"/>
  <c r="BH493" i="5"/>
  <c r="AD493" i="5" s="1"/>
  <c r="BI493" i="5"/>
  <c r="AE493" i="5" s="1"/>
  <c r="BJ493" i="5"/>
  <c r="K495" i="5"/>
  <c r="L495" i="5"/>
  <c r="AL495" i="5" s="1"/>
  <c r="Z495" i="5"/>
  <c r="AB495" i="5"/>
  <c r="AC495" i="5"/>
  <c r="AF495" i="5"/>
  <c r="AG495" i="5"/>
  <c r="AH495" i="5"/>
  <c r="AJ495" i="5"/>
  <c r="AK495" i="5"/>
  <c r="AO495" i="5"/>
  <c r="J495" i="5" s="1"/>
  <c r="AP495" i="5"/>
  <c r="AX495" i="5" s="1"/>
  <c r="BD495" i="5"/>
  <c r="BF495" i="5"/>
  <c r="BI495" i="5"/>
  <c r="AE495" i="5" s="1"/>
  <c r="BJ495" i="5"/>
  <c r="L497" i="5"/>
  <c r="AL497" i="5" s="1"/>
  <c r="Z497" i="5"/>
  <c r="AB497" i="5"/>
  <c r="AC497" i="5"/>
  <c r="AF497" i="5"/>
  <c r="AG497" i="5"/>
  <c r="AH497" i="5"/>
  <c r="AJ497" i="5"/>
  <c r="AK497" i="5"/>
  <c r="AO497" i="5"/>
  <c r="J497" i="5" s="1"/>
  <c r="AP497" i="5"/>
  <c r="BI497" i="5" s="1"/>
  <c r="AE497" i="5" s="1"/>
  <c r="AX497" i="5"/>
  <c r="BD497" i="5"/>
  <c r="BF497" i="5"/>
  <c r="BH497" i="5"/>
  <c r="AD497" i="5" s="1"/>
  <c r="BJ497" i="5"/>
  <c r="L499" i="5"/>
  <c r="AL499" i="5" s="1"/>
  <c r="Z499" i="5"/>
  <c r="AB499" i="5"/>
  <c r="AC499" i="5"/>
  <c r="AF499" i="5"/>
  <c r="AG499" i="5"/>
  <c r="AH499" i="5"/>
  <c r="AJ499" i="5"/>
  <c r="AK499" i="5"/>
  <c r="AO499" i="5"/>
  <c r="AW499" i="5"/>
  <c r="AP499" i="5"/>
  <c r="K499" i="5" s="1"/>
  <c r="BD499" i="5"/>
  <c r="BF499" i="5"/>
  <c r="BH499" i="5"/>
  <c r="AD499" i="5" s="1"/>
  <c r="BJ499" i="5"/>
  <c r="L501" i="5"/>
  <c r="AL501" i="5" s="1"/>
  <c r="Z501" i="5"/>
  <c r="AB501" i="5"/>
  <c r="AC501" i="5"/>
  <c r="AF501" i="5"/>
  <c r="AG501" i="5"/>
  <c r="AH501" i="5"/>
  <c r="AJ501" i="5"/>
  <c r="AK501" i="5"/>
  <c r="AO501" i="5"/>
  <c r="J501" i="5"/>
  <c r="AP501" i="5"/>
  <c r="BI501" i="5" s="1"/>
  <c r="AE501" i="5" s="1"/>
  <c r="AW501" i="5"/>
  <c r="BD501" i="5"/>
  <c r="BF501" i="5"/>
  <c r="BH501" i="5"/>
  <c r="AD501" i="5"/>
  <c r="BJ501" i="5"/>
  <c r="L503" i="5"/>
  <c r="AL503" i="5" s="1"/>
  <c r="Z503" i="5"/>
  <c r="AB503" i="5"/>
  <c r="AC503" i="5"/>
  <c r="AF503" i="5"/>
  <c r="AG503" i="5"/>
  <c r="AH503" i="5"/>
  <c r="AJ503" i="5"/>
  <c r="AK503" i="5"/>
  <c r="AO503" i="5"/>
  <c r="BH503" i="5" s="1"/>
  <c r="AD503" i="5" s="1"/>
  <c r="AP503" i="5"/>
  <c r="BI503" i="5" s="1"/>
  <c r="AE503" i="5" s="1"/>
  <c r="BD503" i="5"/>
  <c r="BF503" i="5"/>
  <c r="BJ503" i="5"/>
  <c r="L505" i="5"/>
  <c r="AL505" i="5" s="1"/>
  <c r="Z505" i="5"/>
  <c r="AB505" i="5"/>
  <c r="AC505" i="5"/>
  <c r="AF505" i="5"/>
  <c r="AG505" i="5"/>
  <c r="AH505" i="5"/>
  <c r="AJ505" i="5"/>
  <c r="AK505" i="5"/>
  <c r="AO505" i="5"/>
  <c r="AW505" i="5" s="1"/>
  <c r="J505" i="5"/>
  <c r="AP505" i="5"/>
  <c r="BI505" i="5" s="1"/>
  <c r="AE505" i="5" s="1"/>
  <c r="BD505" i="5"/>
  <c r="BF505" i="5"/>
  <c r="BH505" i="5"/>
  <c r="AD505" i="5" s="1"/>
  <c r="BJ505" i="5"/>
  <c r="L507" i="5"/>
  <c r="AL507" i="5" s="1"/>
  <c r="Z507" i="5"/>
  <c r="AB507" i="5"/>
  <c r="AC507" i="5"/>
  <c r="AF507" i="5"/>
  <c r="AG507" i="5"/>
  <c r="AH507" i="5"/>
  <c r="AJ507" i="5"/>
  <c r="AK507" i="5"/>
  <c r="AO507" i="5"/>
  <c r="BH507" i="5" s="1"/>
  <c r="AD507" i="5" s="1"/>
  <c r="J507" i="5"/>
  <c r="AP507" i="5"/>
  <c r="K507" i="5" s="1"/>
  <c r="BD507" i="5"/>
  <c r="BF507" i="5"/>
  <c r="BI507" i="5"/>
  <c r="AE507" i="5" s="1"/>
  <c r="BJ507" i="5"/>
  <c r="K509" i="5"/>
  <c r="L509" i="5"/>
  <c r="AL509" i="5" s="1"/>
  <c r="Z509" i="5"/>
  <c r="AB509" i="5"/>
  <c r="AC509" i="5"/>
  <c r="AF509" i="5"/>
  <c r="AG509" i="5"/>
  <c r="AH509" i="5"/>
  <c r="AJ509" i="5"/>
  <c r="AK509" i="5"/>
  <c r="AO509" i="5"/>
  <c r="BH509" i="5" s="1"/>
  <c r="AD509" i="5" s="1"/>
  <c r="AP509" i="5"/>
  <c r="AX509" i="5"/>
  <c r="BD509" i="5"/>
  <c r="BF509" i="5"/>
  <c r="BI509" i="5"/>
  <c r="AE509" i="5" s="1"/>
  <c r="BJ509" i="5"/>
  <c r="J511" i="5"/>
  <c r="L511" i="5"/>
  <c r="AL511" i="5" s="1"/>
  <c r="Z511" i="5"/>
  <c r="AB511" i="5"/>
  <c r="AC511" i="5"/>
  <c r="AF511" i="5"/>
  <c r="AG511" i="5"/>
  <c r="AH511" i="5"/>
  <c r="AJ511" i="5"/>
  <c r="AK511" i="5"/>
  <c r="AO511" i="5"/>
  <c r="AW511" i="5"/>
  <c r="AP511" i="5"/>
  <c r="K511" i="5" s="1"/>
  <c r="BD511" i="5"/>
  <c r="BF511" i="5"/>
  <c r="BH511" i="5"/>
  <c r="AD511" i="5" s="1"/>
  <c r="BJ511" i="5"/>
  <c r="L513" i="5"/>
  <c r="AL513" i="5" s="1"/>
  <c r="Z513" i="5"/>
  <c r="AB513" i="5"/>
  <c r="AC513" i="5"/>
  <c r="AF513" i="5"/>
  <c r="AG513" i="5"/>
  <c r="AH513" i="5"/>
  <c r="AJ513" i="5"/>
  <c r="AK513" i="5"/>
  <c r="AO513" i="5"/>
  <c r="J513" i="5"/>
  <c r="AP513" i="5"/>
  <c r="K513" i="5" s="1"/>
  <c r="BD513" i="5"/>
  <c r="BF513" i="5"/>
  <c r="BH513" i="5"/>
  <c r="AD513" i="5" s="1"/>
  <c r="BJ513" i="5"/>
  <c r="L515" i="5"/>
  <c r="AL515" i="5" s="1"/>
  <c r="Z515" i="5"/>
  <c r="AB515" i="5"/>
  <c r="AC515" i="5"/>
  <c r="AF515" i="5"/>
  <c r="AG515" i="5"/>
  <c r="AH515" i="5"/>
  <c r="AJ515" i="5"/>
  <c r="AK515" i="5"/>
  <c r="AO515" i="5"/>
  <c r="AW515" i="5" s="1"/>
  <c r="AP515" i="5"/>
  <c r="K515" i="5" s="1"/>
  <c r="BD515" i="5"/>
  <c r="BF515" i="5"/>
  <c r="BJ515" i="5"/>
  <c r="L517" i="5"/>
  <c r="Z517" i="5"/>
  <c r="AB517" i="5"/>
  <c r="AC517" i="5"/>
  <c r="AF517" i="5"/>
  <c r="AG517" i="5"/>
  <c r="AH517" i="5"/>
  <c r="AJ517" i="5"/>
  <c r="AK517" i="5"/>
  <c r="AL517" i="5"/>
  <c r="AO517" i="5"/>
  <c r="AW517" i="5" s="1"/>
  <c r="AP517" i="5"/>
  <c r="BI517" i="5" s="1"/>
  <c r="AE517" i="5" s="1"/>
  <c r="AX517" i="5"/>
  <c r="BD517" i="5"/>
  <c r="BF517" i="5"/>
  <c r="BJ517" i="5"/>
  <c r="L519" i="5"/>
  <c r="AL519" i="5" s="1"/>
  <c r="Z519" i="5"/>
  <c r="AB519" i="5"/>
  <c r="AC519" i="5"/>
  <c r="AF519" i="5"/>
  <c r="AG519" i="5"/>
  <c r="AH519" i="5"/>
  <c r="AJ519" i="5"/>
  <c r="AK519" i="5"/>
  <c r="AO519" i="5"/>
  <c r="BH519" i="5" s="1"/>
  <c r="AD519" i="5" s="1"/>
  <c r="AP519" i="5"/>
  <c r="BI519" i="5" s="1"/>
  <c r="AE519" i="5" s="1"/>
  <c r="BD519" i="5"/>
  <c r="BF519" i="5"/>
  <c r="BJ519" i="5"/>
  <c r="L521" i="5"/>
  <c r="AL521" i="5" s="1"/>
  <c r="Z521" i="5"/>
  <c r="AB521" i="5"/>
  <c r="AC521" i="5"/>
  <c r="AF521" i="5"/>
  <c r="AG521" i="5"/>
  <c r="AH521" i="5"/>
  <c r="AJ521" i="5"/>
  <c r="AK521" i="5"/>
  <c r="AO521" i="5"/>
  <c r="BH521" i="5" s="1"/>
  <c r="AD521" i="5" s="1"/>
  <c r="AP521" i="5"/>
  <c r="AX521" i="5" s="1"/>
  <c r="BD521" i="5"/>
  <c r="BF521" i="5"/>
  <c r="BI521" i="5"/>
  <c r="AE521" i="5" s="1"/>
  <c r="BJ521" i="5"/>
  <c r="L523" i="5"/>
  <c r="Z523" i="5"/>
  <c r="AB523" i="5"/>
  <c r="AC523" i="5"/>
  <c r="AF523" i="5"/>
  <c r="AG523" i="5"/>
  <c r="AH523" i="5"/>
  <c r="AJ523" i="5"/>
  <c r="AK523" i="5"/>
  <c r="AL523" i="5"/>
  <c r="AO523" i="5"/>
  <c r="BH523" i="5" s="1"/>
  <c r="AD523" i="5" s="1"/>
  <c r="AP523" i="5"/>
  <c r="BI523" i="5" s="1"/>
  <c r="AE523" i="5" s="1"/>
  <c r="BD523" i="5"/>
  <c r="BF523" i="5"/>
  <c r="BJ523" i="5"/>
  <c r="L525" i="5"/>
  <c r="AL525" i="5" s="1"/>
  <c r="Z525" i="5"/>
  <c r="AB525" i="5"/>
  <c r="AC525" i="5"/>
  <c r="AF525" i="5"/>
  <c r="AG525" i="5"/>
  <c r="AH525" i="5"/>
  <c r="AJ525" i="5"/>
  <c r="AK525" i="5"/>
  <c r="AO525" i="5"/>
  <c r="AW525" i="5" s="1"/>
  <c r="AP525" i="5"/>
  <c r="BI525" i="5" s="1"/>
  <c r="AE525" i="5" s="1"/>
  <c r="BD525" i="5"/>
  <c r="BF525" i="5"/>
  <c r="BJ525" i="5"/>
  <c r="L527" i="5"/>
  <c r="AL527" i="5" s="1"/>
  <c r="Z527" i="5"/>
  <c r="AB527" i="5"/>
  <c r="AC527" i="5"/>
  <c r="AF527" i="5"/>
  <c r="AG527" i="5"/>
  <c r="AH527" i="5"/>
  <c r="AJ527" i="5"/>
  <c r="AK527" i="5"/>
  <c r="AO527" i="5"/>
  <c r="J527" i="5" s="1"/>
  <c r="AP527" i="5"/>
  <c r="AX527" i="5" s="1"/>
  <c r="BD527" i="5"/>
  <c r="BF527" i="5"/>
  <c r="BH527" i="5"/>
  <c r="AD527" i="5" s="1"/>
  <c r="BI527" i="5"/>
  <c r="AE527" i="5" s="1"/>
  <c r="BJ527" i="5"/>
  <c r="L529" i="5"/>
  <c r="Z529" i="5"/>
  <c r="AB529" i="5"/>
  <c r="AC529" i="5"/>
  <c r="AF529" i="5"/>
  <c r="AG529" i="5"/>
  <c r="AH529" i="5"/>
  <c r="AJ529" i="5"/>
  <c r="AK529" i="5"/>
  <c r="AL529" i="5"/>
  <c r="AO529" i="5"/>
  <c r="AW529" i="5" s="1"/>
  <c r="AP529" i="5"/>
  <c r="AX529" i="5"/>
  <c r="BD529" i="5"/>
  <c r="BF529" i="5"/>
  <c r="BJ529" i="5"/>
  <c r="L531" i="5"/>
  <c r="AL531" i="5" s="1"/>
  <c r="Z531" i="5"/>
  <c r="AB531" i="5"/>
  <c r="AC531" i="5"/>
  <c r="AF531" i="5"/>
  <c r="AG531" i="5"/>
  <c r="AH531" i="5"/>
  <c r="AJ531" i="5"/>
  <c r="AK531" i="5"/>
  <c r="AO531" i="5"/>
  <c r="AW531" i="5"/>
  <c r="AP531" i="5"/>
  <c r="K531" i="5" s="1"/>
  <c r="BD531" i="5"/>
  <c r="BF531" i="5"/>
  <c r="BH531" i="5"/>
  <c r="AD531" i="5" s="1"/>
  <c r="BJ531" i="5"/>
  <c r="L533" i="5"/>
  <c r="AL533" i="5"/>
  <c r="Z533" i="5"/>
  <c r="AB533" i="5"/>
  <c r="AC533" i="5"/>
  <c r="AF533" i="5"/>
  <c r="AG533" i="5"/>
  <c r="AH533" i="5"/>
  <c r="AJ533" i="5"/>
  <c r="AK533" i="5"/>
  <c r="AO533" i="5"/>
  <c r="J533" i="5" s="1"/>
  <c r="AP533" i="5"/>
  <c r="K533" i="5" s="1"/>
  <c r="AX533" i="5"/>
  <c r="BD533" i="5"/>
  <c r="BF533" i="5"/>
  <c r="BJ533" i="5"/>
  <c r="L535" i="5"/>
  <c r="AL535" i="5" s="1"/>
  <c r="Z535" i="5"/>
  <c r="AB535" i="5"/>
  <c r="AC535" i="5"/>
  <c r="AF535" i="5"/>
  <c r="AG535" i="5"/>
  <c r="AH535" i="5"/>
  <c r="AJ535" i="5"/>
  <c r="AK535" i="5"/>
  <c r="AO535" i="5"/>
  <c r="J535" i="5" s="1"/>
  <c r="AP535" i="5"/>
  <c r="BI535" i="5" s="1"/>
  <c r="AE535" i="5" s="1"/>
  <c r="BD535" i="5"/>
  <c r="BF535" i="5"/>
  <c r="BH535" i="5"/>
  <c r="AD535" i="5" s="1"/>
  <c r="BJ535" i="5"/>
  <c r="L537" i="5"/>
  <c r="AL537" i="5"/>
  <c r="Z537" i="5"/>
  <c r="AB537" i="5"/>
  <c r="AC537" i="5"/>
  <c r="AF537" i="5"/>
  <c r="AG537" i="5"/>
  <c r="AH537" i="5"/>
  <c r="AJ537" i="5"/>
  <c r="AK537" i="5"/>
  <c r="AO537" i="5"/>
  <c r="BH537" i="5" s="1"/>
  <c r="AD537" i="5" s="1"/>
  <c r="AP537" i="5"/>
  <c r="K537" i="5"/>
  <c r="AX537" i="5"/>
  <c r="BD537" i="5"/>
  <c r="BF537" i="5"/>
  <c r="BI537" i="5"/>
  <c r="AE537" i="5" s="1"/>
  <c r="BJ537" i="5"/>
  <c r="J539" i="5"/>
  <c r="L539" i="5"/>
  <c r="AL539" i="5" s="1"/>
  <c r="Z539" i="5"/>
  <c r="AB539" i="5"/>
  <c r="AC539" i="5"/>
  <c r="AF539" i="5"/>
  <c r="AG539" i="5"/>
  <c r="AH539" i="5"/>
  <c r="AJ539" i="5"/>
  <c r="AK539" i="5"/>
  <c r="AO539" i="5"/>
  <c r="AW539" i="5" s="1"/>
  <c r="AP539" i="5"/>
  <c r="AX539" i="5" s="1"/>
  <c r="BD539" i="5"/>
  <c r="BF539" i="5"/>
  <c r="BH539" i="5"/>
  <c r="AD539" i="5" s="1"/>
  <c r="BJ539" i="5"/>
  <c r="L541" i="5"/>
  <c r="AL541" i="5" s="1"/>
  <c r="Z541" i="5"/>
  <c r="AB541" i="5"/>
  <c r="AC541" i="5"/>
  <c r="AF541" i="5"/>
  <c r="AG541" i="5"/>
  <c r="AH541" i="5"/>
  <c r="AJ541" i="5"/>
  <c r="AK541" i="5"/>
  <c r="AO541" i="5"/>
  <c r="J541" i="5" s="1"/>
  <c r="AP541" i="5"/>
  <c r="AX541" i="5" s="1"/>
  <c r="BD541" i="5"/>
  <c r="BF541" i="5"/>
  <c r="BH541" i="5"/>
  <c r="AD541" i="5" s="1"/>
  <c r="BI541" i="5"/>
  <c r="AE541" i="5" s="1"/>
  <c r="BJ541" i="5"/>
  <c r="J543" i="5"/>
  <c r="L543" i="5"/>
  <c r="AL543" i="5"/>
  <c r="Z543" i="5"/>
  <c r="AB543" i="5"/>
  <c r="AC543" i="5"/>
  <c r="AF543" i="5"/>
  <c r="AG543" i="5"/>
  <c r="AH543" i="5"/>
  <c r="AJ543" i="5"/>
  <c r="AK543" i="5"/>
  <c r="AO543" i="5"/>
  <c r="BH543" i="5" s="1"/>
  <c r="AD543" i="5" s="1"/>
  <c r="AP543" i="5"/>
  <c r="K543" i="5" s="1"/>
  <c r="AW543" i="5"/>
  <c r="BD543" i="5"/>
  <c r="BF543" i="5"/>
  <c r="BI543" i="5"/>
  <c r="AE543" i="5" s="1"/>
  <c r="BJ543" i="5"/>
  <c r="L545" i="5"/>
  <c r="AL545" i="5" s="1"/>
  <c r="Z545" i="5"/>
  <c r="AB545" i="5"/>
  <c r="AC545" i="5"/>
  <c r="AF545" i="5"/>
  <c r="AG545" i="5"/>
  <c r="AH545" i="5"/>
  <c r="AJ545" i="5"/>
  <c r="AK545" i="5"/>
  <c r="AO545" i="5"/>
  <c r="BH545" i="5" s="1"/>
  <c r="AD545" i="5" s="1"/>
  <c r="AP545" i="5"/>
  <c r="K545" i="5" s="1"/>
  <c r="BD545" i="5"/>
  <c r="BF545" i="5"/>
  <c r="BJ545" i="5"/>
  <c r="L547" i="5"/>
  <c r="Z547" i="5"/>
  <c r="AB547" i="5"/>
  <c r="AC547" i="5"/>
  <c r="AF547" i="5"/>
  <c r="AG547" i="5"/>
  <c r="AH547" i="5"/>
  <c r="AJ547" i="5"/>
  <c r="AK547" i="5"/>
  <c r="AL547" i="5"/>
  <c r="AO547" i="5"/>
  <c r="J547" i="5" s="1"/>
  <c r="AP547" i="5"/>
  <c r="K547" i="5" s="1"/>
  <c r="BD547" i="5"/>
  <c r="BF547" i="5"/>
  <c r="BJ547" i="5"/>
  <c r="L549" i="5"/>
  <c r="AL549" i="5" s="1"/>
  <c r="Z549" i="5"/>
  <c r="AB549" i="5"/>
  <c r="AC549" i="5"/>
  <c r="AF549" i="5"/>
  <c r="AG549" i="5"/>
  <c r="AH549" i="5"/>
  <c r="AJ549" i="5"/>
  <c r="AK549" i="5"/>
  <c r="AO549" i="5"/>
  <c r="AW549" i="5" s="1"/>
  <c r="J549" i="5"/>
  <c r="AP549" i="5"/>
  <c r="AX549" i="5" s="1"/>
  <c r="BD549" i="5"/>
  <c r="BF549" i="5"/>
  <c r="BH549" i="5"/>
  <c r="AD549" i="5" s="1"/>
  <c r="BJ549" i="5"/>
  <c r="L551" i="5"/>
  <c r="AL551" i="5" s="1"/>
  <c r="Z551" i="5"/>
  <c r="AB551" i="5"/>
  <c r="AC551" i="5"/>
  <c r="AF551" i="5"/>
  <c r="AG551" i="5"/>
  <c r="AH551" i="5"/>
  <c r="AJ551" i="5"/>
  <c r="AK551" i="5"/>
  <c r="AO551" i="5"/>
  <c r="AW551" i="5" s="1"/>
  <c r="AP551" i="5"/>
  <c r="BI551" i="5" s="1"/>
  <c r="AE551" i="5" s="1"/>
  <c r="K551" i="5"/>
  <c r="AX551" i="5"/>
  <c r="BD551" i="5"/>
  <c r="BF551" i="5"/>
  <c r="BJ551" i="5"/>
  <c r="J553" i="5"/>
  <c r="L553" i="5"/>
  <c r="AL553" i="5" s="1"/>
  <c r="Z553" i="5"/>
  <c r="AB553" i="5"/>
  <c r="AC553" i="5"/>
  <c r="AF553" i="5"/>
  <c r="AG553" i="5"/>
  <c r="AH553" i="5"/>
  <c r="AJ553" i="5"/>
  <c r="AK553" i="5"/>
  <c r="AO553" i="5"/>
  <c r="AW553" i="5"/>
  <c r="AP553" i="5"/>
  <c r="BI553" i="5" s="1"/>
  <c r="AE553" i="5" s="1"/>
  <c r="BD553" i="5"/>
  <c r="BF553" i="5"/>
  <c r="BH553" i="5"/>
  <c r="AD553" i="5" s="1"/>
  <c r="BJ553" i="5"/>
  <c r="L555" i="5"/>
  <c r="AL555" i="5" s="1"/>
  <c r="Z555" i="5"/>
  <c r="AB555" i="5"/>
  <c r="AC555" i="5"/>
  <c r="AF555" i="5"/>
  <c r="AG555" i="5"/>
  <c r="AH555" i="5"/>
  <c r="AJ555" i="5"/>
  <c r="AK555" i="5"/>
  <c r="AO555" i="5"/>
  <c r="BH555" i="5" s="1"/>
  <c r="AD555" i="5" s="1"/>
  <c r="J555" i="5"/>
  <c r="AP555" i="5"/>
  <c r="BI555" i="5" s="1"/>
  <c r="AE555" i="5" s="1"/>
  <c r="BD555" i="5"/>
  <c r="BF555" i="5"/>
  <c r="BJ555" i="5"/>
  <c r="L557" i="5"/>
  <c r="AL557" i="5" s="1"/>
  <c r="Z557" i="5"/>
  <c r="AB557" i="5"/>
  <c r="AC557" i="5"/>
  <c r="AF557" i="5"/>
  <c r="AG557" i="5"/>
  <c r="AH557" i="5"/>
  <c r="AJ557" i="5"/>
  <c r="AK557" i="5"/>
  <c r="AO557" i="5"/>
  <c r="J557" i="5" s="1"/>
  <c r="AP557" i="5"/>
  <c r="AX557" i="5" s="1"/>
  <c r="AW557" i="5"/>
  <c r="AV557" i="5" s="1"/>
  <c r="BD557" i="5"/>
  <c r="BF557" i="5"/>
  <c r="BH557" i="5"/>
  <c r="AD557" i="5" s="1"/>
  <c r="BJ557" i="5"/>
  <c r="L559" i="5"/>
  <c r="Z559" i="5"/>
  <c r="AB559" i="5"/>
  <c r="AC559" i="5"/>
  <c r="AF559" i="5"/>
  <c r="AG559" i="5"/>
  <c r="AH559" i="5"/>
  <c r="AJ559" i="5"/>
  <c r="AK559" i="5"/>
  <c r="AL559" i="5"/>
  <c r="AO559" i="5"/>
  <c r="J559" i="5" s="1"/>
  <c r="AP559" i="5"/>
  <c r="K559" i="5" s="1"/>
  <c r="BD559" i="5"/>
  <c r="BF559" i="5"/>
  <c r="BJ559" i="5"/>
  <c r="L561" i="5"/>
  <c r="AL561" i="5" s="1"/>
  <c r="Z561" i="5"/>
  <c r="AB561" i="5"/>
  <c r="AC561" i="5"/>
  <c r="AF561" i="5"/>
  <c r="AG561" i="5"/>
  <c r="AH561" i="5"/>
  <c r="AJ561" i="5"/>
  <c r="AK561" i="5"/>
  <c r="AO561" i="5"/>
  <c r="BH561" i="5" s="1"/>
  <c r="AD561" i="5" s="1"/>
  <c r="AP561" i="5"/>
  <c r="BI561" i="5" s="1"/>
  <c r="AE561" i="5" s="1"/>
  <c r="BD561" i="5"/>
  <c r="BF561" i="5"/>
  <c r="BJ561" i="5"/>
  <c r="L563" i="5"/>
  <c r="AL563" i="5" s="1"/>
  <c r="Z563" i="5"/>
  <c r="AB563" i="5"/>
  <c r="AC563" i="5"/>
  <c r="AF563" i="5"/>
  <c r="AG563" i="5"/>
  <c r="AH563" i="5"/>
  <c r="AJ563" i="5"/>
  <c r="AK563" i="5"/>
  <c r="AO563" i="5"/>
  <c r="J563" i="5" s="1"/>
  <c r="AP563" i="5"/>
  <c r="K563" i="5" s="1"/>
  <c r="AW563" i="5"/>
  <c r="AX563" i="5"/>
  <c r="BD563" i="5"/>
  <c r="BF563" i="5"/>
  <c r="BH563" i="5"/>
  <c r="AD563" i="5" s="1"/>
  <c r="BJ563" i="5"/>
  <c r="L565" i="5"/>
  <c r="AL565" i="5"/>
  <c r="Z565" i="5"/>
  <c r="AB565" i="5"/>
  <c r="AC565" i="5"/>
  <c r="AF565" i="5"/>
  <c r="AG565" i="5"/>
  <c r="AH565" i="5"/>
  <c r="AJ565" i="5"/>
  <c r="AK565" i="5"/>
  <c r="AO565" i="5"/>
  <c r="J565" i="5" s="1"/>
  <c r="AP565" i="5"/>
  <c r="K565" i="5"/>
  <c r="BD565" i="5"/>
  <c r="BF565" i="5"/>
  <c r="BI565" i="5"/>
  <c r="AE565" i="5" s="1"/>
  <c r="BJ565" i="5"/>
  <c r="L567" i="5"/>
  <c r="AL567" i="5" s="1"/>
  <c r="Z567" i="5"/>
  <c r="AB567" i="5"/>
  <c r="AC567" i="5"/>
  <c r="AF567" i="5"/>
  <c r="AG567" i="5"/>
  <c r="AH567" i="5"/>
  <c r="AJ567" i="5"/>
  <c r="AK567" i="5"/>
  <c r="AO567" i="5"/>
  <c r="AW567" i="5" s="1"/>
  <c r="AP567" i="5"/>
  <c r="K567" i="5"/>
  <c r="AX567" i="5"/>
  <c r="BD567" i="5"/>
  <c r="BF567" i="5"/>
  <c r="BH567" i="5"/>
  <c r="AD567" i="5" s="1"/>
  <c r="BI567" i="5"/>
  <c r="AE567" i="5" s="1"/>
  <c r="BJ567" i="5"/>
  <c r="L569" i="5"/>
  <c r="Z569" i="5"/>
  <c r="AB569" i="5"/>
  <c r="AC569" i="5"/>
  <c r="AF569" i="5"/>
  <c r="AG569" i="5"/>
  <c r="AH569" i="5"/>
  <c r="AJ569" i="5"/>
  <c r="AK569" i="5"/>
  <c r="AL569" i="5"/>
  <c r="AO569" i="5"/>
  <c r="BH569" i="5" s="1"/>
  <c r="AD569" i="5" s="1"/>
  <c r="AP569" i="5"/>
  <c r="K569" i="5" s="1"/>
  <c r="AX569" i="5"/>
  <c r="BD569" i="5"/>
  <c r="BF569" i="5"/>
  <c r="BI569" i="5"/>
  <c r="AE569" i="5" s="1"/>
  <c r="BJ569" i="5"/>
  <c r="L571" i="5"/>
  <c r="AL571" i="5" s="1"/>
  <c r="Z571" i="5"/>
  <c r="AB571" i="5"/>
  <c r="AC571" i="5"/>
  <c r="AF571" i="5"/>
  <c r="AG571" i="5"/>
  <c r="AH571" i="5"/>
  <c r="AJ571" i="5"/>
  <c r="AK571" i="5"/>
  <c r="AO571" i="5"/>
  <c r="BH571" i="5" s="1"/>
  <c r="AD571" i="5" s="1"/>
  <c r="AP571" i="5"/>
  <c r="K571" i="5" s="1"/>
  <c r="BD571" i="5"/>
  <c r="BF571" i="5"/>
  <c r="BJ571" i="5"/>
  <c r="L574" i="5"/>
  <c r="Z574" i="5"/>
  <c r="AD574" i="5"/>
  <c r="AE574" i="5"/>
  <c r="AF574" i="5"/>
  <c r="AG574" i="5"/>
  <c r="AH574" i="5"/>
  <c r="AJ574" i="5"/>
  <c r="AK574" i="5"/>
  <c r="AO574" i="5"/>
  <c r="J574" i="5" s="1"/>
  <c r="AP574" i="5"/>
  <c r="AX574" i="5" s="1"/>
  <c r="BD574" i="5"/>
  <c r="BF574" i="5"/>
  <c r="BJ574" i="5"/>
  <c r="L576" i="5"/>
  <c r="AL576" i="5" s="1"/>
  <c r="Z576" i="5"/>
  <c r="AD576" i="5"/>
  <c r="AE576" i="5"/>
  <c r="AF576" i="5"/>
  <c r="AG576" i="5"/>
  <c r="AH576" i="5"/>
  <c r="AJ576" i="5"/>
  <c r="AK576" i="5"/>
  <c r="AO576" i="5"/>
  <c r="J576" i="5" s="1"/>
  <c r="AP576" i="5"/>
  <c r="K576" i="5" s="1"/>
  <c r="BD576" i="5"/>
  <c r="BF576" i="5"/>
  <c r="BJ576" i="5"/>
  <c r="L578" i="5"/>
  <c r="AL578" i="5" s="1"/>
  <c r="Z578" i="5"/>
  <c r="AD578" i="5"/>
  <c r="AE578" i="5"/>
  <c r="AF578" i="5"/>
  <c r="AG578" i="5"/>
  <c r="AH578" i="5"/>
  <c r="AJ578" i="5"/>
  <c r="AK578" i="5"/>
  <c r="AO578" i="5"/>
  <c r="BH578" i="5" s="1"/>
  <c r="AB578" i="5" s="1"/>
  <c r="AP578" i="5"/>
  <c r="AX578" i="5" s="1"/>
  <c r="BD578" i="5"/>
  <c r="BF578" i="5"/>
  <c r="BJ578" i="5"/>
  <c r="L580" i="5"/>
  <c r="Z580" i="5"/>
  <c r="AD580" i="5"/>
  <c r="AE580" i="5"/>
  <c r="AF580" i="5"/>
  <c r="AG580" i="5"/>
  <c r="AH580" i="5"/>
  <c r="AJ580" i="5"/>
  <c r="AK580" i="5"/>
  <c r="AL580" i="5"/>
  <c r="AO580" i="5"/>
  <c r="AW580" i="5" s="1"/>
  <c r="AP580" i="5"/>
  <c r="BI580" i="5" s="1"/>
  <c r="AC580" i="5" s="1"/>
  <c r="BD580" i="5"/>
  <c r="BF580" i="5"/>
  <c r="BJ580" i="5"/>
  <c r="L582" i="5"/>
  <c r="AL582" i="5" s="1"/>
  <c r="Z582" i="5"/>
  <c r="AD582" i="5"/>
  <c r="AE582" i="5"/>
  <c r="AF582" i="5"/>
  <c r="AG582" i="5"/>
  <c r="AH582" i="5"/>
  <c r="AJ582" i="5"/>
  <c r="AK582" i="5"/>
  <c r="AO582" i="5"/>
  <c r="J582" i="5" s="1"/>
  <c r="AP582" i="5"/>
  <c r="K582" i="5" s="1"/>
  <c r="BD582" i="5"/>
  <c r="BF582" i="5"/>
  <c r="BJ582" i="5"/>
  <c r="K584" i="5"/>
  <c r="L584" i="5"/>
  <c r="AL584" i="5" s="1"/>
  <c r="Z584" i="5"/>
  <c r="AD584" i="5"/>
  <c r="AE584" i="5"/>
  <c r="AF584" i="5"/>
  <c r="AG584" i="5"/>
  <c r="AH584" i="5"/>
  <c r="AJ584" i="5"/>
  <c r="AK584" i="5"/>
  <c r="AO584" i="5"/>
  <c r="J584" i="5" s="1"/>
  <c r="AP584" i="5"/>
  <c r="AX584" i="5"/>
  <c r="BD584" i="5"/>
  <c r="BF584" i="5"/>
  <c r="BH584" i="5"/>
  <c r="AB584" i="5" s="1"/>
  <c r="BI584" i="5"/>
  <c r="AC584" i="5" s="1"/>
  <c r="BJ584" i="5"/>
  <c r="L586" i="5"/>
  <c r="Z586" i="5"/>
  <c r="AD586" i="5"/>
  <c r="AE586" i="5"/>
  <c r="AF586" i="5"/>
  <c r="AG586" i="5"/>
  <c r="AH586" i="5"/>
  <c r="AJ586" i="5"/>
  <c r="AK586" i="5"/>
  <c r="AL586" i="5"/>
  <c r="AO586" i="5"/>
  <c r="BH586" i="5" s="1"/>
  <c r="AB586" i="5" s="1"/>
  <c r="AP586" i="5"/>
  <c r="BI586" i="5" s="1"/>
  <c r="AC586" i="5" s="1"/>
  <c r="BD586" i="5"/>
  <c r="BF586" i="5"/>
  <c r="BJ586" i="5"/>
  <c r="L590" i="5"/>
  <c r="Z590" i="5"/>
  <c r="AB590" i="5"/>
  <c r="AC590" i="5"/>
  <c r="AF590" i="5"/>
  <c r="AG590" i="5"/>
  <c r="AH590" i="5"/>
  <c r="AJ590" i="5"/>
  <c r="AK590" i="5"/>
  <c r="AO590" i="5"/>
  <c r="J590" i="5"/>
  <c r="AP590" i="5"/>
  <c r="AX590" i="5" s="1"/>
  <c r="BD590" i="5"/>
  <c r="BF590" i="5"/>
  <c r="BJ590" i="5"/>
  <c r="L592" i="5"/>
  <c r="Z592" i="5"/>
  <c r="AB592" i="5"/>
  <c r="AC592" i="5"/>
  <c r="AF592" i="5"/>
  <c r="AG592" i="5"/>
  <c r="AH592" i="5"/>
  <c r="AJ592" i="5"/>
  <c r="AK592" i="5"/>
  <c r="AO592" i="5"/>
  <c r="BH592" i="5" s="1"/>
  <c r="AD592" i="5" s="1"/>
  <c r="AW592" i="5"/>
  <c r="AP592" i="5"/>
  <c r="K592" i="5" s="1"/>
  <c r="BD592" i="5"/>
  <c r="BF592" i="5"/>
  <c r="BJ592" i="5"/>
  <c r="L594" i="5"/>
  <c r="Z594" i="5"/>
  <c r="AB594" i="5"/>
  <c r="AC594" i="5"/>
  <c r="AF594" i="5"/>
  <c r="AG594" i="5"/>
  <c r="AH594" i="5"/>
  <c r="AJ594" i="5"/>
  <c r="AK594" i="5"/>
  <c r="AL594" i="5"/>
  <c r="AO594" i="5"/>
  <c r="AW594" i="5" s="1"/>
  <c r="AP594" i="5"/>
  <c r="BI594" i="5" s="1"/>
  <c r="AE594" i="5" s="1"/>
  <c r="K594" i="5"/>
  <c r="BD594" i="5"/>
  <c r="BF594" i="5"/>
  <c r="BJ594" i="5"/>
  <c r="L597" i="5"/>
  <c r="AL597" i="5" s="1"/>
  <c r="Z597" i="5"/>
  <c r="AB597" i="5"/>
  <c r="AC597" i="5"/>
  <c r="AF597" i="5"/>
  <c r="AG597" i="5"/>
  <c r="AH597" i="5"/>
  <c r="AJ597" i="5"/>
  <c r="AK597" i="5"/>
  <c r="AO597" i="5"/>
  <c r="AW597" i="5" s="1"/>
  <c r="AP597" i="5"/>
  <c r="K597" i="5" s="1"/>
  <c r="AX597" i="5"/>
  <c r="BD597" i="5"/>
  <c r="BF597" i="5"/>
  <c r="BJ597" i="5"/>
  <c r="L599" i="5"/>
  <c r="AL599" i="5" s="1"/>
  <c r="Z599" i="5"/>
  <c r="AB599" i="5"/>
  <c r="AC599" i="5"/>
  <c r="AF599" i="5"/>
  <c r="AG599" i="5"/>
  <c r="AH599" i="5"/>
  <c r="AJ599" i="5"/>
  <c r="AK599" i="5"/>
  <c r="AO599" i="5"/>
  <c r="AW599" i="5" s="1"/>
  <c r="AP599" i="5"/>
  <c r="AX599" i="5" s="1"/>
  <c r="BD599" i="5"/>
  <c r="BF599" i="5"/>
  <c r="BI599" i="5"/>
  <c r="AE599" i="5" s="1"/>
  <c r="BJ599" i="5"/>
  <c r="L601" i="5"/>
  <c r="Z601" i="5"/>
  <c r="AB601" i="5"/>
  <c r="AC601" i="5"/>
  <c r="AF601" i="5"/>
  <c r="AG601" i="5"/>
  <c r="AH601" i="5"/>
  <c r="AJ601" i="5"/>
  <c r="AK601" i="5"/>
  <c r="AL601" i="5"/>
  <c r="AO601" i="5"/>
  <c r="AW601" i="5" s="1"/>
  <c r="AP601" i="5"/>
  <c r="AX601" i="5" s="1"/>
  <c r="BD601" i="5"/>
  <c r="BF601" i="5"/>
  <c r="BH601" i="5"/>
  <c r="AD601" i="5" s="1"/>
  <c r="BI601" i="5"/>
  <c r="AE601" i="5" s="1"/>
  <c r="BJ601" i="5"/>
  <c r="L603" i="5"/>
  <c r="AL603" i="5" s="1"/>
  <c r="Z603" i="5"/>
  <c r="AB603" i="5"/>
  <c r="AC603" i="5"/>
  <c r="AF603" i="5"/>
  <c r="AG603" i="5"/>
  <c r="AH603" i="5"/>
  <c r="AJ603" i="5"/>
  <c r="AK603" i="5"/>
  <c r="AO603" i="5"/>
  <c r="AW603" i="5" s="1"/>
  <c r="AP603" i="5"/>
  <c r="AX603" i="5" s="1"/>
  <c r="BD603" i="5"/>
  <c r="BF603" i="5"/>
  <c r="BH603" i="5"/>
  <c r="AD603" i="5" s="1"/>
  <c r="BI603" i="5"/>
  <c r="AE603" i="5" s="1"/>
  <c r="BJ603" i="5"/>
  <c r="L605" i="5"/>
  <c r="Z605" i="5"/>
  <c r="AB605" i="5"/>
  <c r="AC605" i="5"/>
  <c r="AF605" i="5"/>
  <c r="AG605" i="5"/>
  <c r="AH605" i="5"/>
  <c r="AJ605" i="5"/>
  <c r="AK605" i="5"/>
  <c r="AL605" i="5"/>
  <c r="AO605" i="5"/>
  <c r="AW605" i="5" s="1"/>
  <c r="AP605" i="5"/>
  <c r="AX605" i="5" s="1"/>
  <c r="BD605" i="5"/>
  <c r="BF605" i="5"/>
  <c r="BH605" i="5"/>
  <c r="AD605" i="5" s="1"/>
  <c r="BI605" i="5"/>
  <c r="AE605" i="5" s="1"/>
  <c r="BJ605" i="5"/>
  <c r="L608" i="5"/>
  <c r="Z608" i="5"/>
  <c r="AB608" i="5"/>
  <c r="AC608" i="5"/>
  <c r="AF608" i="5"/>
  <c r="AG608" i="5"/>
  <c r="AH608" i="5"/>
  <c r="AJ608" i="5"/>
  <c r="AK608" i="5"/>
  <c r="AL608" i="5"/>
  <c r="AO608" i="5"/>
  <c r="AW608" i="5" s="1"/>
  <c r="AP608" i="5"/>
  <c r="AX608" i="5" s="1"/>
  <c r="BD608" i="5"/>
  <c r="BF608" i="5"/>
  <c r="BH608" i="5"/>
  <c r="AD608" i="5" s="1"/>
  <c r="BJ608" i="5"/>
  <c r="L610" i="5"/>
  <c r="AL610" i="5" s="1"/>
  <c r="Z610" i="5"/>
  <c r="AB610" i="5"/>
  <c r="AC610" i="5"/>
  <c r="AF610" i="5"/>
  <c r="AG610" i="5"/>
  <c r="AH610" i="5"/>
  <c r="AJ610" i="5"/>
  <c r="AK610" i="5"/>
  <c r="AO610" i="5"/>
  <c r="AW610" i="5" s="1"/>
  <c r="AP610" i="5"/>
  <c r="K610" i="5" s="1"/>
  <c r="BD610" i="5"/>
  <c r="BF610" i="5"/>
  <c r="BH610" i="5"/>
  <c r="AD610" i="5" s="1"/>
  <c r="BJ610" i="5"/>
  <c r="L612" i="5"/>
  <c r="AL612" i="5" s="1"/>
  <c r="Z612" i="5"/>
  <c r="AB612" i="5"/>
  <c r="AC612" i="5"/>
  <c r="AF612" i="5"/>
  <c r="AG612" i="5"/>
  <c r="AH612" i="5"/>
  <c r="AJ612" i="5"/>
  <c r="AK612" i="5"/>
  <c r="AT607" i="5" s="1"/>
  <c r="AO612" i="5"/>
  <c r="AW612" i="5" s="1"/>
  <c r="AP612" i="5"/>
  <c r="AX612" i="5" s="1"/>
  <c r="BD612" i="5"/>
  <c r="BF612" i="5"/>
  <c r="BJ612" i="5"/>
  <c r="L614" i="5"/>
  <c r="AL614" i="5" s="1"/>
  <c r="Z614" i="5"/>
  <c r="AB614" i="5"/>
  <c r="AC614" i="5"/>
  <c r="AF614" i="5"/>
  <c r="AG614" i="5"/>
  <c r="AH614" i="5"/>
  <c r="AJ614" i="5"/>
  <c r="AK614" i="5"/>
  <c r="AO614" i="5"/>
  <c r="AW614" i="5" s="1"/>
  <c r="AP614" i="5"/>
  <c r="K614" i="5" s="1"/>
  <c r="BD614" i="5"/>
  <c r="BF614" i="5"/>
  <c r="BJ614" i="5"/>
  <c r="J617" i="5"/>
  <c r="L617" i="5"/>
  <c r="Z617" i="5"/>
  <c r="AB617" i="5"/>
  <c r="AC617" i="5"/>
  <c r="AF617" i="5"/>
  <c r="AG617" i="5"/>
  <c r="AH617" i="5"/>
  <c r="AJ617" i="5"/>
  <c r="AK617" i="5"/>
  <c r="AL617" i="5"/>
  <c r="AO617" i="5"/>
  <c r="AW617" i="5" s="1"/>
  <c r="AP617" i="5"/>
  <c r="BI617" i="5" s="1"/>
  <c r="AE617" i="5" s="1"/>
  <c r="BD617" i="5"/>
  <c r="BF617" i="5"/>
  <c r="BH617" i="5"/>
  <c r="AD617" i="5" s="1"/>
  <c r="BJ617" i="5"/>
  <c r="L619" i="5"/>
  <c r="AL619" i="5" s="1"/>
  <c r="Z619" i="5"/>
  <c r="AB619" i="5"/>
  <c r="AC619" i="5"/>
  <c r="AF619" i="5"/>
  <c r="AG619" i="5"/>
  <c r="AH619" i="5"/>
  <c r="AJ619" i="5"/>
  <c r="AK619" i="5"/>
  <c r="AO619" i="5"/>
  <c r="BH619" i="5" s="1"/>
  <c r="AD619" i="5" s="1"/>
  <c r="AP619" i="5"/>
  <c r="AX619" i="5" s="1"/>
  <c r="BD619" i="5"/>
  <c r="BF619" i="5"/>
  <c r="BJ619" i="5"/>
  <c r="L621" i="5"/>
  <c r="AL621" i="5" s="1"/>
  <c r="Z621" i="5"/>
  <c r="AB621" i="5"/>
  <c r="AC621" i="5"/>
  <c r="AF621" i="5"/>
  <c r="AG621" i="5"/>
  <c r="AH621" i="5"/>
  <c r="AJ621" i="5"/>
  <c r="AK621" i="5"/>
  <c r="AO621" i="5"/>
  <c r="AW621" i="5" s="1"/>
  <c r="AP621" i="5"/>
  <c r="K621" i="5" s="1"/>
  <c r="BD621" i="5"/>
  <c r="BF621" i="5"/>
  <c r="BJ621" i="5"/>
  <c r="L623" i="5"/>
  <c r="AL623" i="5" s="1"/>
  <c r="Z623" i="5"/>
  <c r="AB623" i="5"/>
  <c r="AC623" i="5"/>
  <c r="AF623" i="5"/>
  <c r="AG623" i="5"/>
  <c r="AH623" i="5"/>
  <c r="AJ623" i="5"/>
  <c r="AK623" i="5"/>
  <c r="AO623" i="5"/>
  <c r="AW623" i="5" s="1"/>
  <c r="AP623" i="5"/>
  <c r="K623" i="5" s="1"/>
  <c r="AX623" i="5"/>
  <c r="BD623" i="5"/>
  <c r="BF623" i="5"/>
  <c r="BH623" i="5"/>
  <c r="AD623" i="5" s="1"/>
  <c r="BI623" i="5"/>
  <c r="AE623" i="5" s="1"/>
  <c r="BJ623" i="5"/>
  <c r="L625" i="5"/>
  <c r="AL625" i="5" s="1"/>
  <c r="Z625" i="5"/>
  <c r="AB625" i="5"/>
  <c r="AC625" i="5"/>
  <c r="AF625" i="5"/>
  <c r="AG625" i="5"/>
  <c r="AH625" i="5"/>
  <c r="AJ625" i="5"/>
  <c r="AK625" i="5"/>
  <c r="AO625" i="5"/>
  <c r="J625" i="5" s="1"/>
  <c r="AP625" i="5"/>
  <c r="K625" i="5" s="1"/>
  <c r="BD625" i="5"/>
  <c r="BF625" i="5"/>
  <c r="BI625" i="5"/>
  <c r="AE625" i="5" s="1"/>
  <c r="BJ625" i="5"/>
  <c r="L627" i="5"/>
  <c r="AL627" i="5" s="1"/>
  <c r="Z627" i="5"/>
  <c r="AB627" i="5"/>
  <c r="AC627" i="5"/>
  <c r="AF627" i="5"/>
  <c r="AG627" i="5"/>
  <c r="AH627" i="5"/>
  <c r="AJ627" i="5"/>
  <c r="AK627" i="5"/>
  <c r="AO627" i="5"/>
  <c r="J627" i="5" s="1"/>
  <c r="AP627" i="5"/>
  <c r="AX627" i="5" s="1"/>
  <c r="BD627" i="5"/>
  <c r="BF627" i="5"/>
  <c r="BH627" i="5"/>
  <c r="AD627" i="5" s="1"/>
  <c r="BI627" i="5"/>
  <c r="AE627" i="5" s="1"/>
  <c r="BJ627" i="5"/>
  <c r="L629" i="5"/>
  <c r="AL629" i="5" s="1"/>
  <c r="Z629" i="5"/>
  <c r="AB629" i="5"/>
  <c r="AC629" i="5"/>
  <c r="AF629" i="5"/>
  <c r="AG629" i="5"/>
  <c r="AH629" i="5"/>
  <c r="AJ629" i="5"/>
  <c r="AK629" i="5"/>
  <c r="AO629" i="5"/>
  <c r="AW629" i="5" s="1"/>
  <c r="AP629" i="5"/>
  <c r="K629" i="5" s="1"/>
  <c r="AX629" i="5"/>
  <c r="BD629" i="5"/>
  <c r="BF629" i="5"/>
  <c r="BH629" i="5"/>
  <c r="AD629" i="5" s="1"/>
  <c r="BI629" i="5"/>
  <c r="AE629" i="5" s="1"/>
  <c r="BJ629" i="5"/>
  <c r="L631" i="5"/>
  <c r="Z631" i="5"/>
  <c r="AB631" i="5"/>
  <c r="AC631" i="5"/>
  <c r="AF631" i="5"/>
  <c r="AG631" i="5"/>
  <c r="AH631" i="5"/>
  <c r="AJ631" i="5"/>
  <c r="AK631" i="5"/>
  <c r="AL631" i="5"/>
  <c r="AO631" i="5"/>
  <c r="J631" i="5" s="1"/>
  <c r="AP631" i="5"/>
  <c r="K631" i="5" s="1"/>
  <c r="AX631" i="5"/>
  <c r="BD631" i="5"/>
  <c r="BF631" i="5"/>
  <c r="BI631" i="5"/>
  <c r="AE631" i="5" s="1"/>
  <c r="BJ631" i="5"/>
  <c r="K633" i="5"/>
  <c r="L633" i="5"/>
  <c r="Z633" i="5"/>
  <c r="AB633" i="5"/>
  <c r="AC633" i="5"/>
  <c r="AF633" i="5"/>
  <c r="AG633" i="5"/>
  <c r="AH633" i="5"/>
  <c r="AJ633" i="5"/>
  <c r="AK633" i="5"/>
  <c r="AL633" i="5"/>
  <c r="AO633" i="5"/>
  <c r="J633" i="5" s="1"/>
  <c r="AP633" i="5"/>
  <c r="AX633" i="5"/>
  <c r="BD633" i="5"/>
  <c r="BF633" i="5"/>
  <c r="BH633" i="5"/>
  <c r="AD633" i="5" s="1"/>
  <c r="BI633" i="5"/>
  <c r="AE633" i="5" s="1"/>
  <c r="BJ633" i="5"/>
  <c r="L635" i="5"/>
  <c r="Z635" i="5"/>
  <c r="AB635" i="5"/>
  <c r="AC635" i="5"/>
  <c r="AF635" i="5"/>
  <c r="AG635" i="5"/>
  <c r="AH635" i="5"/>
  <c r="AJ635" i="5"/>
  <c r="AK635" i="5"/>
  <c r="AL635" i="5"/>
  <c r="AO635" i="5"/>
  <c r="AW635" i="5" s="1"/>
  <c r="AP635" i="5"/>
  <c r="K635" i="5" s="1"/>
  <c r="AX635" i="5"/>
  <c r="BD635" i="5"/>
  <c r="BF635" i="5"/>
  <c r="BJ635" i="5"/>
  <c r="L637" i="5"/>
  <c r="AL637" i="5" s="1"/>
  <c r="Z637" i="5"/>
  <c r="AB637" i="5"/>
  <c r="AC637" i="5"/>
  <c r="AF637" i="5"/>
  <c r="AG637" i="5"/>
  <c r="AH637" i="5"/>
  <c r="AJ637" i="5"/>
  <c r="AK637" i="5"/>
  <c r="AO637" i="5"/>
  <c r="AW637" i="5" s="1"/>
  <c r="AP637" i="5"/>
  <c r="K637" i="5" s="1"/>
  <c r="BD637" i="5"/>
  <c r="BF637" i="5"/>
  <c r="BH637" i="5"/>
  <c r="AD637" i="5" s="1"/>
  <c r="BI637" i="5"/>
  <c r="AE637" i="5" s="1"/>
  <c r="BJ637" i="5"/>
  <c r="L639" i="5"/>
  <c r="AL639" i="5" s="1"/>
  <c r="Z639" i="5"/>
  <c r="AB639" i="5"/>
  <c r="AC639" i="5"/>
  <c r="AF639" i="5"/>
  <c r="AG639" i="5"/>
  <c r="AH639" i="5"/>
  <c r="AJ639" i="5"/>
  <c r="AK639" i="5"/>
  <c r="AO639" i="5"/>
  <c r="J639" i="5" s="1"/>
  <c r="AP639" i="5"/>
  <c r="K639" i="5" s="1"/>
  <c r="BD639" i="5"/>
  <c r="BF639" i="5"/>
  <c r="BI639" i="5"/>
  <c r="AE639" i="5" s="1"/>
  <c r="BJ639" i="5"/>
  <c r="L641" i="5"/>
  <c r="AL641" i="5" s="1"/>
  <c r="Z641" i="5"/>
  <c r="AB641" i="5"/>
  <c r="AC641" i="5"/>
  <c r="AF641" i="5"/>
  <c r="AG641" i="5"/>
  <c r="AH641" i="5"/>
  <c r="AJ641" i="5"/>
  <c r="AK641" i="5"/>
  <c r="AO641" i="5"/>
  <c r="AW641" i="5" s="1"/>
  <c r="AP641" i="5"/>
  <c r="K641" i="5" s="1"/>
  <c r="BD641" i="5"/>
  <c r="BF641" i="5"/>
  <c r="BH641" i="5"/>
  <c r="AD641" i="5" s="1"/>
  <c r="BJ641" i="5"/>
  <c r="L644" i="5"/>
  <c r="Z644" i="5"/>
  <c r="AB644" i="5"/>
  <c r="AC644" i="5"/>
  <c r="AF644" i="5"/>
  <c r="AG644" i="5"/>
  <c r="AH644" i="5"/>
  <c r="AJ644" i="5"/>
  <c r="AK644" i="5"/>
  <c r="AO644" i="5"/>
  <c r="J644" i="5" s="1"/>
  <c r="AP644" i="5"/>
  <c r="K644" i="5" s="1"/>
  <c r="BD644" i="5"/>
  <c r="BF644" i="5"/>
  <c r="BH644" i="5"/>
  <c r="AD644" i="5" s="1"/>
  <c r="BJ644" i="5"/>
  <c r="L646" i="5"/>
  <c r="Z646" i="5"/>
  <c r="AB646" i="5"/>
  <c r="AC646" i="5"/>
  <c r="AF646" i="5"/>
  <c r="AG646" i="5"/>
  <c r="AH646" i="5"/>
  <c r="AJ646" i="5"/>
  <c r="AK646" i="5"/>
  <c r="AO646" i="5"/>
  <c r="J646" i="5" s="1"/>
  <c r="AP646" i="5"/>
  <c r="AX646" i="5" s="1"/>
  <c r="BD646" i="5"/>
  <c r="BF646" i="5"/>
  <c r="BI646" i="5"/>
  <c r="AE646" i="5" s="1"/>
  <c r="BJ646" i="5"/>
  <c r="L648" i="5"/>
  <c r="AL648" i="5" s="1"/>
  <c r="Z648" i="5"/>
  <c r="AB648" i="5"/>
  <c r="AC648" i="5"/>
  <c r="AF648" i="5"/>
  <c r="AG648" i="5"/>
  <c r="AH648" i="5"/>
  <c r="AJ648" i="5"/>
  <c r="AK648" i="5"/>
  <c r="AO648" i="5"/>
  <c r="BH648" i="5" s="1"/>
  <c r="AD648" i="5" s="1"/>
  <c r="AP648" i="5"/>
  <c r="K648" i="5" s="1"/>
  <c r="BD648" i="5"/>
  <c r="BF648" i="5"/>
  <c r="BJ648" i="5"/>
  <c r="L650" i="5"/>
  <c r="AL650" i="5" s="1"/>
  <c r="Z650" i="5"/>
  <c r="AB650" i="5"/>
  <c r="AC650" i="5"/>
  <c r="AF650" i="5"/>
  <c r="AG650" i="5"/>
  <c r="AH650" i="5"/>
  <c r="AJ650" i="5"/>
  <c r="AK650" i="5"/>
  <c r="AO650" i="5"/>
  <c r="BH650" i="5" s="1"/>
  <c r="AD650" i="5" s="1"/>
  <c r="AP650" i="5"/>
  <c r="K650" i="5" s="1"/>
  <c r="BD650" i="5"/>
  <c r="BF650" i="5"/>
  <c r="BI650" i="5"/>
  <c r="AE650" i="5" s="1"/>
  <c r="BJ650" i="5"/>
  <c r="L652" i="5"/>
  <c r="AL652" i="5" s="1"/>
  <c r="Z652" i="5"/>
  <c r="AB652" i="5"/>
  <c r="AC652" i="5"/>
  <c r="AF652" i="5"/>
  <c r="AG652" i="5"/>
  <c r="AH652" i="5"/>
  <c r="AJ652" i="5"/>
  <c r="AK652" i="5"/>
  <c r="AO652" i="5"/>
  <c r="AW652" i="5"/>
  <c r="AP652" i="5"/>
  <c r="BI652" i="5" s="1"/>
  <c r="AE652" i="5" s="1"/>
  <c r="BD652" i="5"/>
  <c r="BF652" i="5"/>
  <c r="BH652" i="5"/>
  <c r="AD652" i="5"/>
  <c r="BJ652" i="5"/>
  <c r="L654" i="5"/>
  <c r="AL654" i="5"/>
  <c r="Z654" i="5"/>
  <c r="AB654" i="5"/>
  <c r="AC654" i="5"/>
  <c r="AF654" i="5"/>
  <c r="AG654" i="5"/>
  <c r="AH654" i="5"/>
  <c r="AJ654" i="5"/>
  <c r="AK654" i="5"/>
  <c r="AO654" i="5"/>
  <c r="BH654" i="5" s="1"/>
  <c r="AD654" i="5" s="1"/>
  <c r="AP654" i="5"/>
  <c r="K654" i="5" s="1"/>
  <c r="BD654" i="5"/>
  <c r="BF654" i="5"/>
  <c r="BI654" i="5"/>
  <c r="AE654" i="5" s="1"/>
  <c r="BJ654" i="5"/>
  <c r="J656" i="5"/>
  <c r="L656" i="5"/>
  <c r="AL656" i="5" s="1"/>
  <c r="Z656" i="5"/>
  <c r="AB656" i="5"/>
  <c r="AC656" i="5"/>
  <c r="AF656" i="5"/>
  <c r="AG656" i="5"/>
  <c r="AH656" i="5"/>
  <c r="AJ656" i="5"/>
  <c r="AK656" i="5"/>
  <c r="AO656" i="5"/>
  <c r="AW656" i="5" s="1"/>
  <c r="AP656" i="5"/>
  <c r="AX656" i="5" s="1"/>
  <c r="BD656" i="5"/>
  <c r="BF656" i="5"/>
  <c r="BJ656" i="5"/>
  <c r="L658" i="5"/>
  <c r="AL658" i="5" s="1"/>
  <c r="Z658" i="5"/>
  <c r="AB658" i="5"/>
  <c r="AC658" i="5"/>
  <c r="AF658" i="5"/>
  <c r="AG658" i="5"/>
  <c r="AH658" i="5"/>
  <c r="AJ658" i="5"/>
  <c r="AK658" i="5"/>
  <c r="AO658" i="5"/>
  <c r="AW658" i="5" s="1"/>
  <c r="AP658" i="5"/>
  <c r="K658" i="5" s="1"/>
  <c r="BD658" i="5"/>
  <c r="BF658" i="5"/>
  <c r="BJ658" i="5"/>
  <c r="L660" i="5"/>
  <c r="Z660" i="5"/>
  <c r="AB660" i="5"/>
  <c r="AC660" i="5"/>
  <c r="AF660" i="5"/>
  <c r="AG660" i="5"/>
  <c r="AH660" i="5"/>
  <c r="AJ660" i="5"/>
  <c r="AK660" i="5"/>
  <c r="AL660" i="5"/>
  <c r="AO660" i="5"/>
  <c r="J660" i="5" s="1"/>
  <c r="AP660" i="5"/>
  <c r="K660" i="5" s="1"/>
  <c r="BD660" i="5"/>
  <c r="BF660" i="5"/>
  <c r="BJ660" i="5"/>
  <c r="L662" i="5"/>
  <c r="AL662" i="5" s="1"/>
  <c r="Z662" i="5"/>
  <c r="AB662" i="5"/>
  <c r="AC662" i="5"/>
  <c r="AF662" i="5"/>
  <c r="AG662" i="5"/>
  <c r="AH662" i="5"/>
  <c r="AJ662" i="5"/>
  <c r="AK662" i="5"/>
  <c r="AO662" i="5"/>
  <c r="BH662" i="5" s="1"/>
  <c r="AD662" i="5" s="1"/>
  <c r="AP662" i="5"/>
  <c r="K662" i="5" s="1"/>
  <c r="BD662" i="5"/>
  <c r="BF662" i="5"/>
  <c r="BJ662" i="5"/>
  <c r="L664" i="5"/>
  <c r="AL664" i="5" s="1"/>
  <c r="Z664" i="5"/>
  <c r="AB664" i="5"/>
  <c r="AC664" i="5"/>
  <c r="AF664" i="5"/>
  <c r="AG664" i="5"/>
  <c r="AH664" i="5"/>
  <c r="AJ664" i="5"/>
  <c r="AK664" i="5"/>
  <c r="AO664" i="5"/>
  <c r="AW664" i="5" s="1"/>
  <c r="AP664" i="5"/>
  <c r="BI664" i="5" s="1"/>
  <c r="AE664" i="5" s="1"/>
  <c r="BD664" i="5"/>
  <c r="BF664" i="5"/>
  <c r="BJ664" i="5"/>
  <c r="L666" i="5"/>
  <c r="AL666" i="5" s="1"/>
  <c r="Z666" i="5"/>
  <c r="AB666" i="5"/>
  <c r="AC666" i="5"/>
  <c r="AF666" i="5"/>
  <c r="AG666" i="5"/>
  <c r="AH666" i="5"/>
  <c r="AJ666" i="5"/>
  <c r="AK666" i="5"/>
  <c r="AO666" i="5"/>
  <c r="BH666" i="5" s="1"/>
  <c r="AD666" i="5" s="1"/>
  <c r="AP666" i="5"/>
  <c r="BI666" i="5" s="1"/>
  <c r="AE666" i="5" s="1"/>
  <c r="BD666" i="5"/>
  <c r="BF666" i="5"/>
  <c r="BJ666" i="5"/>
  <c r="L668" i="5"/>
  <c r="AL668" i="5" s="1"/>
  <c r="Z668" i="5"/>
  <c r="AB668" i="5"/>
  <c r="AC668" i="5"/>
  <c r="AF668" i="5"/>
  <c r="AG668" i="5"/>
  <c r="AH668" i="5"/>
  <c r="AJ668" i="5"/>
  <c r="AK668" i="5"/>
  <c r="AO668" i="5"/>
  <c r="BH668" i="5" s="1"/>
  <c r="AD668" i="5" s="1"/>
  <c r="AP668" i="5"/>
  <c r="K668" i="5" s="1"/>
  <c r="BD668" i="5"/>
  <c r="BF668" i="5"/>
  <c r="BI668" i="5"/>
  <c r="AE668" i="5" s="1"/>
  <c r="BJ668" i="5"/>
  <c r="L670" i="5"/>
  <c r="AL670" i="5" s="1"/>
  <c r="Z670" i="5"/>
  <c r="AB670" i="5"/>
  <c r="AC670" i="5"/>
  <c r="AF670" i="5"/>
  <c r="AG670" i="5"/>
  <c r="AH670" i="5"/>
  <c r="AJ670" i="5"/>
  <c r="AK670" i="5"/>
  <c r="AO670" i="5"/>
  <c r="BH670" i="5" s="1"/>
  <c r="AD670" i="5" s="1"/>
  <c r="AP670" i="5"/>
  <c r="BI670" i="5" s="1"/>
  <c r="AE670" i="5" s="1"/>
  <c r="BD670" i="5"/>
  <c r="BF670" i="5"/>
  <c r="BJ670" i="5"/>
  <c r="L672" i="5"/>
  <c r="AL672" i="5" s="1"/>
  <c r="Z672" i="5"/>
  <c r="AB672" i="5"/>
  <c r="AC672" i="5"/>
  <c r="AF672" i="5"/>
  <c r="AG672" i="5"/>
  <c r="AH672" i="5"/>
  <c r="AJ672" i="5"/>
  <c r="AK672" i="5"/>
  <c r="AO672" i="5"/>
  <c r="BH672" i="5" s="1"/>
  <c r="AD672" i="5" s="1"/>
  <c r="AP672" i="5"/>
  <c r="AX672" i="5" s="1"/>
  <c r="BD672" i="5"/>
  <c r="BF672" i="5"/>
  <c r="BI672" i="5"/>
  <c r="AE672" i="5" s="1"/>
  <c r="BJ672" i="5"/>
  <c r="L674" i="5"/>
  <c r="AL674" i="5" s="1"/>
  <c r="Z674" i="5"/>
  <c r="AB674" i="5"/>
  <c r="AC674" i="5"/>
  <c r="AF674" i="5"/>
  <c r="AG674" i="5"/>
  <c r="AH674" i="5"/>
  <c r="AJ674" i="5"/>
  <c r="AK674" i="5"/>
  <c r="AO674" i="5"/>
  <c r="J674" i="5" s="1"/>
  <c r="AP674" i="5"/>
  <c r="BI674" i="5" s="1"/>
  <c r="AE674" i="5" s="1"/>
  <c r="BD674" i="5"/>
  <c r="BF674" i="5"/>
  <c r="BJ674" i="5"/>
  <c r="L676" i="5"/>
  <c r="AL676" i="5" s="1"/>
  <c r="Z676" i="5"/>
  <c r="AB676" i="5"/>
  <c r="AC676" i="5"/>
  <c r="AF676" i="5"/>
  <c r="AG676" i="5"/>
  <c r="AH676" i="5"/>
  <c r="AJ676" i="5"/>
  <c r="AK676" i="5"/>
  <c r="AO676" i="5"/>
  <c r="BH676" i="5" s="1"/>
  <c r="AD676" i="5" s="1"/>
  <c r="AP676" i="5"/>
  <c r="K676" i="5" s="1"/>
  <c r="AW676" i="5"/>
  <c r="BD676" i="5"/>
  <c r="BF676" i="5"/>
  <c r="BJ676" i="5"/>
  <c r="L678" i="5"/>
  <c r="AL678" i="5" s="1"/>
  <c r="Z678" i="5"/>
  <c r="AB678" i="5"/>
  <c r="AC678" i="5"/>
  <c r="AF678" i="5"/>
  <c r="AG678" i="5"/>
  <c r="AH678" i="5"/>
  <c r="AJ678" i="5"/>
  <c r="AK678" i="5"/>
  <c r="AO678" i="5"/>
  <c r="J678" i="5" s="1"/>
  <c r="AP678" i="5"/>
  <c r="K678" i="5" s="1"/>
  <c r="BD678" i="5"/>
  <c r="BF678" i="5"/>
  <c r="BJ678" i="5"/>
  <c r="L680" i="5"/>
  <c r="AL680" i="5" s="1"/>
  <c r="Z680" i="5"/>
  <c r="AB680" i="5"/>
  <c r="AC680" i="5"/>
  <c r="AF680" i="5"/>
  <c r="AG680" i="5"/>
  <c r="AH680" i="5"/>
  <c r="AJ680" i="5"/>
  <c r="AK680" i="5"/>
  <c r="AO680" i="5"/>
  <c r="J680" i="5" s="1"/>
  <c r="AP680" i="5"/>
  <c r="AX680" i="5" s="1"/>
  <c r="BD680" i="5"/>
  <c r="BF680" i="5"/>
  <c r="BJ680" i="5"/>
  <c r="L682" i="5"/>
  <c r="AL682" i="5"/>
  <c r="Z682" i="5"/>
  <c r="AB682" i="5"/>
  <c r="AC682" i="5"/>
  <c r="AF682" i="5"/>
  <c r="AG682" i="5"/>
  <c r="AH682" i="5"/>
  <c r="AJ682" i="5"/>
  <c r="AK682" i="5"/>
  <c r="AO682" i="5"/>
  <c r="AW682" i="5" s="1"/>
  <c r="AP682" i="5"/>
  <c r="AX682" i="5" s="1"/>
  <c r="BD682" i="5"/>
  <c r="BF682" i="5"/>
  <c r="BI682" i="5"/>
  <c r="AE682" i="5" s="1"/>
  <c r="BJ682" i="5"/>
  <c r="L684" i="5"/>
  <c r="Z684" i="5"/>
  <c r="AB684" i="5"/>
  <c r="AC684" i="5"/>
  <c r="AF684" i="5"/>
  <c r="AG684" i="5"/>
  <c r="AH684" i="5"/>
  <c r="AJ684" i="5"/>
  <c r="AK684" i="5"/>
  <c r="AL684" i="5"/>
  <c r="AO684" i="5"/>
  <c r="AW684" i="5" s="1"/>
  <c r="AP684" i="5"/>
  <c r="K684" i="5" s="1"/>
  <c r="BD684" i="5"/>
  <c r="BF684" i="5"/>
  <c r="BJ684" i="5"/>
  <c r="L686" i="5"/>
  <c r="AL686" i="5" s="1"/>
  <c r="Z686" i="5"/>
  <c r="AB686" i="5"/>
  <c r="AC686" i="5"/>
  <c r="AF686" i="5"/>
  <c r="AG686" i="5"/>
  <c r="AH686" i="5"/>
  <c r="AJ686" i="5"/>
  <c r="AK686" i="5"/>
  <c r="AO686" i="5"/>
  <c r="J686" i="5" s="1"/>
  <c r="AP686" i="5"/>
  <c r="AX686" i="5" s="1"/>
  <c r="BD686" i="5"/>
  <c r="BF686" i="5"/>
  <c r="BH686" i="5"/>
  <c r="AD686" i="5" s="1"/>
  <c r="BJ686" i="5"/>
  <c r="L688" i="5"/>
  <c r="AL688" i="5" s="1"/>
  <c r="Z688" i="5"/>
  <c r="AB688" i="5"/>
  <c r="AC688" i="5"/>
  <c r="AF688" i="5"/>
  <c r="AG688" i="5"/>
  <c r="AH688" i="5"/>
  <c r="AJ688" i="5"/>
  <c r="AK688" i="5"/>
  <c r="AO688" i="5"/>
  <c r="J688" i="5" s="1"/>
  <c r="AP688" i="5"/>
  <c r="K688" i="5" s="1"/>
  <c r="BD688" i="5"/>
  <c r="BF688" i="5"/>
  <c r="BJ688" i="5"/>
  <c r="K690" i="5"/>
  <c r="L690" i="5"/>
  <c r="AL690" i="5"/>
  <c r="Z690" i="5"/>
  <c r="AB690" i="5"/>
  <c r="AC690" i="5"/>
  <c r="AF690" i="5"/>
  <c r="AG690" i="5"/>
  <c r="AH690" i="5"/>
  <c r="AJ690" i="5"/>
  <c r="AK690" i="5"/>
  <c r="AO690" i="5"/>
  <c r="BH690" i="5" s="1"/>
  <c r="AD690" i="5" s="1"/>
  <c r="AP690" i="5"/>
  <c r="AX690" i="5"/>
  <c r="BD690" i="5"/>
  <c r="BF690" i="5"/>
  <c r="BI690" i="5"/>
  <c r="AE690" i="5" s="1"/>
  <c r="BJ690" i="5"/>
  <c r="L692" i="5"/>
  <c r="AL692" i="5"/>
  <c r="Z692" i="5"/>
  <c r="AB692" i="5"/>
  <c r="AC692" i="5"/>
  <c r="AF692" i="5"/>
  <c r="AG692" i="5"/>
  <c r="AH692" i="5"/>
  <c r="AJ692" i="5"/>
  <c r="AK692" i="5"/>
  <c r="AO692" i="5"/>
  <c r="AW692" i="5" s="1"/>
  <c r="AP692" i="5"/>
  <c r="BI692" i="5" s="1"/>
  <c r="AE692" i="5" s="1"/>
  <c r="BD692" i="5"/>
  <c r="BF692" i="5"/>
  <c r="BJ692" i="5"/>
  <c r="L694" i="5"/>
  <c r="Z694" i="5"/>
  <c r="AB694" i="5"/>
  <c r="AC694" i="5"/>
  <c r="AF694" i="5"/>
  <c r="AG694" i="5"/>
  <c r="AH694" i="5"/>
  <c r="AJ694" i="5"/>
  <c r="AK694" i="5"/>
  <c r="AL694" i="5"/>
  <c r="AO694" i="5"/>
  <c r="J694" i="5" s="1"/>
  <c r="AP694" i="5"/>
  <c r="BI694" i="5" s="1"/>
  <c r="AE694" i="5" s="1"/>
  <c r="BD694" i="5"/>
  <c r="BF694" i="5"/>
  <c r="BJ694" i="5"/>
  <c r="L696" i="5"/>
  <c r="AL696" i="5" s="1"/>
  <c r="Z696" i="5"/>
  <c r="AB696" i="5"/>
  <c r="AC696" i="5"/>
  <c r="AF696" i="5"/>
  <c r="AG696" i="5"/>
  <c r="AH696" i="5"/>
  <c r="AJ696" i="5"/>
  <c r="AK696" i="5"/>
  <c r="AO696" i="5"/>
  <c r="J696" i="5" s="1"/>
  <c r="AP696" i="5"/>
  <c r="K696" i="5" s="1"/>
  <c r="AX696" i="5"/>
  <c r="BD696" i="5"/>
  <c r="BF696" i="5"/>
  <c r="BJ696" i="5"/>
  <c r="J698" i="5"/>
  <c r="L698" i="5"/>
  <c r="AL698" i="5" s="1"/>
  <c r="Z698" i="5"/>
  <c r="AB698" i="5"/>
  <c r="AC698" i="5"/>
  <c r="AF698" i="5"/>
  <c r="AG698" i="5"/>
  <c r="AH698" i="5"/>
  <c r="AJ698" i="5"/>
  <c r="AK698" i="5"/>
  <c r="AO698" i="5"/>
  <c r="AP698" i="5"/>
  <c r="K698" i="5" s="1"/>
  <c r="AX698" i="5"/>
  <c r="AV698" i="5" s="1"/>
  <c r="AW698" i="5"/>
  <c r="BD698" i="5"/>
  <c r="BF698" i="5"/>
  <c r="BH698" i="5"/>
  <c r="AD698" i="5" s="1"/>
  <c r="BI698" i="5"/>
  <c r="AE698" i="5"/>
  <c r="BJ698" i="5"/>
  <c r="L700" i="5"/>
  <c r="Z700" i="5"/>
  <c r="AB700" i="5"/>
  <c r="AC700" i="5"/>
  <c r="AF700" i="5"/>
  <c r="AG700" i="5"/>
  <c r="AH700" i="5"/>
  <c r="AJ700" i="5"/>
  <c r="AK700" i="5"/>
  <c r="AL700" i="5"/>
  <c r="AO700" i="5"/>
  <c r="BH700" i="5" s="1"/>
  <c r="AD700" i="5" s="1"/>
  <c r="AP700" i="5"/>
  <c r="K700" i="5" s="1"/>
  <c r="AW700" i="5"/>
  <c r="BD700" i="5"/>
  <c r="BF700" i="5"/>
  <c r="BJ700" i="5"/>
  <c r="L702" i="5"/>
  <c r="AL702" i="5" s="1"/>
  <c r="Z702" i="5"/>
  <c r="AB702" i="5"/>
  <c r="AC702" i="5"/>
  <c r="AF702" i="5"/>
  <c r="AG702" i="5"/>
  <c r="AH702" i="5"/>
  <c r="AJ702" i="5"/>
  <c r="AK702" i="5"/>
  <c r="AO702" i="5"/>
  <c r="J702" i="5" s="1"/>
  <c r="AP702" i="5"/>
  <c r="AX702" i="5" s="1"/>
  <c r="BD702" i="5"/>
  <c r="BF702" i="5"/>
  <c r="BJ702" i="5"/>
  <c r="L704" i="5"/>
  <c r="AL704" i="5"/>
  <c r="Z704" i="5"/>
  <c r="AB704" i="5"/>
  <c r="AC704" i="5"/>
  <c r="AF704" i="5"/>
  <c r="AG704" i="5"/>
  <c r="AH704" i="5"/>
  <c r="AJ704" i="5"/>
  <c r="AK704" i="5"/>
  <c r="AO704" i="5"/>
  <c r="BH704" i="5" s="1"/>
  <c r="AD704" i="5" s="1"/>
  <c r="AP704" i="5"/>
  <c r="K704" i="5" s="1"/>
  <c r="AW704" i="5"/>
  <c r="BD704" i="5"/>
  <c r="BF704" i="5"/>
  <c r="BJ704" i="5"/>
  <c r="L706" i="5"/>
  <c r="Z706" i="5"/>
  <c r="AB706" i="5"/>
  <c r="AC706" i="5"/>
  <c r="AF706" i="5"/>
  <c r="AG706" i="5"/>
  <c r="AH706" i="5"/>
  <c r="AJ706" i="5"/>
  <c r="AK706" i="5"/>
  <c r="AL706" i="5"/>
  <c r="AO706" i="5"/>
  <c r="J706" i="5" s="1"/>
  <c r="AP706" i="5"/>
  <c r="BI706" i="5" s="1"/>
  <c r="AE706" i="5" s="1"/>
  <c r="BD706" i="5"/>
  <c r="BF706" i="5"/>
  <c r="BJ706" i="5"/>
  <c r="L708" i="5"/>
  <c r="AL708" i="5" s="1"/>
  <c r="Z708" i="5"/>
  <c r="AB708" i="5"/>
  <c r="AC708" i="5"/>
  <c r="AF708" i="5"/>
  <c r="AG708" i="5"/>
  <c r="AH708" i="5"/>
  <c r="AJ708" i="5"/>
  <c r="AK708" i="5"/>
  <c r="AO708" i="5"/>
  <c r="J708" i="5" s="1"/>
  <c r="AP708" i="5"/>
  <c r="BI708" i="5" s="1"/>
  <c r="AE708" i="5" s="1"/>
  <c r="BD708" i="5"/>
  <c r="BF708" i="5"/>
  <c r="BJ708" i="5"/>
  <c r="L710" i="5"/>
  <c r="AL710" i="5"/>
  <c r="Z710" i="5"/>
  <c r="AB710" i="5"/>
  <c r="AC710" i="5"/>
  <c r="AF710" i="5"/>
  <c r="AG710" i="5"/>
  <c r="AH710" i="5"/>
  <c r="AJ710" i="5"/>
  <c r="AK710" i="5"/>
  <c r="AO710" i="5"/>
  <c r="J710" i="5" s="1"/>
  <c r="AP710" i="5"/>
  <c r="K710" i="5" s="1"/>
  <c r="BD710" i="5"/>
  <c r="BF710" i="5"/>
  <c r="BJ710" i="5"/>
  <c r="L712" i="5"/>
  <c r="AL712" i="5" s="1"/>
  <c r="Z712" i="5"/>
  <c r="AB712" i="5"/>
  <c r="AC712" i="5"/>
  <c r="AF712" i="5"/>
  <c r="AG712" i="5"/>
  <c r="AH712" i="5"/>
  <c r="AJ712" i="5"/>
  <c r="AK712" i="5"/>
  <c r="AO712" i="5"/>
  <c r="BH712" i="5" s="1"/>
  <c r="AD712" i="5" s="1"/>
  <c r="AP712" i="5"/>
  <c r="BI712" i="5" s="1"/>
  <c r="AE712" i="5" s="1"/>
  <c r="BD712" i="5"/>
  <c r="BF712" i="5"/>
  <c r="BJ712" i="5"/>
  <c r="L714" i="5"/>
  <c r="AL714" i="5" s="1"/>
  <c r="Z714" i="5"/>
  <c r="AB714" i="5"/>
  <c r="AC714" i="5"/>
  <c r="AF714" i="5"/>
  <c r="AG714" i="5"/>
  <c r="AH714" i="5"/>
  <c r="AJ714" i="5"/>
  <c r="AK714" i="5"/>
  <c r="AO714" i="5"/>
  <c r="BH714" i="5" s="1"/>
  <c r="AD714" i="5" s="1"/>
  <c r="AP714" i="5"/>
  <c r="K714" i="5" s="1"/>
  <c r="BD714" i="5"/>
  <c r="BF714" i="5"/>
  <c r="BJ714" i="5"/>
  <c r="L716" i="5"/>
  <c r="AL716" i="5" s="1"/>
  <c r="Z716" i="5"/>
  <c r="AB716" i="5"/>
  <c r="AC716" i="5"/>
  <c r="AF716" i="5"/>
  <c r="AG716" i="5"/>
  <c r="AH716" i="5"/>
  <c r="AJ716" i="5"/>
  <c r="AK716" i="5"/>
  <c r="AO716" i="5"/>
  <c r="J716" i="5" s="1"/>
  <c r="AP716" i="5"/>
  <c r="AX716" i="5" s="1"/>
  <c r="BD716" i="5"/>
  <c r="BF716" i="5"/>
  <c r="BH716" i="5"/>
  <c r="AD716" i="5" s="1"/>
  <c r="BJ716" i="5"/>
  <c r="L718" i="5"/>
  <c r="AL718" i="5" s="1"/>
  <c r="Z718" i="5"/>
  <c r="AB718" i="5"/>
  <c r="AC718" i="5"/>
  <c r="AF718" i="5"/>
  <c r="AG718" i="5"/>
  <c r="AH718" i="5"/>
  <c r="AJ718" i="5"/>
  <c r="AK718" i="5"/>
  <c r="AO718" i="5"/>
  <c r="BH718" i="5" s="1"/>
  <c r="AD718" i="5" s="1"/>
  <c r="AP718" i="5"/>
  <c r="BI718" i="5" s="1"/>
  <c r="AE718" i="5" s="1"/>
  <c r="BD718" i="5"/>
  <c r="BF718" i="5"/>
  <c r="BJ718" i="5"/>
  <c r="K720" i="5"/>
  <c r="L720" i="5"/>
  <c r="AL720" i="5" s="1"/>
  <c r="Z720" i="5"/>
  <c r="AB720" i="5"/>
  <c r="AC720" i="5"/>
  <c r="AF720" i="5"/>
  <c r="AG720" i="5"/>
  <c r="AH720" i="5"/>
  <c r="AJ720" i="5"/>
  <c r="AK720" i="5"/>
  <c r="AO720" i="5"/>
  <c r="J720" i="5" s="1"/>
  <c r="AP720" i="5"/>
  <c r="AX720" i="5" s="1"/>
  <c r="BD720" i="5"/>
  <c r="BF720" i="5"/>
  <c r="BH720" i="5"/>
  <c r="AD720" i="5" s="1"/>
  <c r="BI720" i="5"/>
  <c r="AE720" i="5" s="1"/>
  <c r="BJ720" i="5"/>
  <c r="L722" i="5"/>
  <c r="Z722" i="5"/>
  <c r="AB722" i="5"/>
  <c r="AC722" i="5"/>
  <c r="AF722" i="5"/>
  <c r="AG722" i="5"/>
  <c r="AH722" i="5"/>
  <c r="AJ722" i="5"/>
  <c r="AK722" i="5"/>
  <c r="AL722" i="5"/>
  <c r="AO722" i="5"/>
  <c r="AW722" i="5" s="1"/>
  <c r="AP722" i="5"/>
  <c r="K722" i="5" s="1"/>
  <c r="BD722" i="5"/>
  <c r="BF722" i="5"/>
  <c r="BJ722" i="5"/>
  <c r="K724" i="5"/>
  <c r="L724" i="5"/>
  <c r="AL724" i="5" s="1"/>
  <c r="Z724" i="5"/>
  <c r="AB724" i="5"/>
  <c r="AC724" i="5"/>
  <c r="AF724" i="5"/>
  <c r="AG724" i="5"/>
  <c r="AH724" i="5"/>
  <c r="AJ724" i="5"/>
  <c r="AK724" i="5"/>
  <c r="AO724" i="5"/>
  <c r="J724" i="5" s="1"/>
  <c r="AP724" i="5"/>
  <c r="BI724" i="5" s="1"/>
  <c r="AE724" i="5" s="1"/>
  <c r="BD724" i="5"/>
  <c r="BF724" i="5"/>
  <c r="BH724" i="5"/>
  <c r="AD724" i="5" s="1"/>
  <c r="BJ724" i="5"/>
  <c r="L726" i="5"/>
  <c r="AL726" i="5" s="1"/>
  <c r="Z726" i="5"/>
  <c r="AB726" i="5"/>
  <c r="AC726" i="5"/>
  <c r="AF726" i="5"/>
  <c r="AG726" i="5"/>
  <c r="AH726" i="5"/>
  <c r="AJ726" i="5"/>
  <c r="AK726" i="5"/>
  <c r="AO726" i="5"/>
  <c r="J726" i="5" s="1"/>
  <c r="AP726" i="5"/>
  <c r="AX726" i="5" s="1"/>
  <c r="BD726" i="5"/>
  <c r="BF726" i="5"/>
  <c r="BH726" i="5"/>
  <c r="AD726" i="5" s="1"/>
  <c r="BI726" i="5"/>
  <c r="AE726" i="5" s="1"/>
  <c r="BJ726" i="5"/>
  <c r="L728" i="5"/>
  <c r="AL728" i="5" s="1"/>
  <c r="Z728" i="5"/>
  <c r="AB728" i="5"/>
  <c r="AC728" i="5"/>
  <c r="AF728" i="5"/>
  <c r="AG728" i="5"/>
  <c r="AH728" i="5"/>
  <c r="AJ728" i="5"/>
  <c r="AK728" i="5"/>
  <c r="AO728" i="5"/>
  <c r="J728" i="5" s="1"/>
  <c r="AP728" i="5"/>
  <c r="AX728" i="5" s="1"/>
  <c r="BD728" i="5"/>
  <c r="BF728" i="5"/>
  <c r="BJ728" i="5"/>
  <c r="L730" i="5"/>
  <c r="AL730" i="5" s="1"/>
  <c r="Z730" i="5"/>
  <c r="AB730" i="5"/>
  <c r="AC730" i="5"/>
  <c r="AF730" i="5"/>
  <c r="AG730" i="5"/>
  <c r="AH730" i="5"/>
  <c r="AJ730" i="5"/>
  <c r="AK730" i="5"/>
  <c r="AO730" i="5"/>
  <c r="AW730" i="5" s="1"/>
  <c r="AP730" i="5"/>
  <c r="BI730" i="5" s="1"/>
  <c r="AE730" i="5" s="1"/>
  <c r="BD730" i="5"/>
  <c r="BF730" i="5"/>
  <c r="BJ730" i="5"/>
  <c r="L732" i="5"/>
  <c r="AL732" i="5" s="1"/>
  <c r="Z732" i="5"/>
  <c r="AB732" i="5"/>
  <c r="AC732" i="5"/>
  <c r="AF732" i="5"/>
  <c r="AG732" i="5"/>
  <c r="AH732" i="5"/>
  <c r="AJ732" i="5"/>
  <c r="AK732" i="5"/>
  <c r="AO732" i="5"/>
  <c r="AW732" i="5" s="1"/>
  <c r="AP732" i="5"/>
  <c r="AX732" i="5" s="1"/>
  <c r="BD732" i="5"/>
  <c r="BF732" i="5"/>
  <c r="BJ732" i="5"/>
  <c r="L734" i="5"/>
  <c r="AL734" i="5" s="1"/>
  <c r="Z734" i="5"/>
  <c r="AB734" i="5"/>
  <c r="AC734" i="5"/>
  <c r="AF734" i="5"/>
  <c r="AG734" i="5"/>
  <c r="AH734" i="5"/>
  <c r="AJ734" i="5"/>
  <c r="AK734" i="5"/>
  <c r="AO734" i="5"/>
  <c r="J734" i="5" s="1"/>
  <c r="AP734" i="5"/>
  <c r="K734" i="5" s="1"/>
  <c r="BD734" i="5"/>
  <c r="BF734" i="5"/>
  <c r="BJ734" i="5"/>
  <c r="L736" i="5"/>
  <c r="AL736" i="5" s="1"/>
  <c r="Z736" i="5"/>
  <c r="AB736" i="5"/>
  <c r="AC736" i="5"/>
  <c r="AF736" i="5"/>
  <c r="AG736" i="5"/>
  <c r="AH736" i="5"/>
  <c r="AJ736" i="5"/>
  <c r="AK736" i="5"/>
  <c r="AO736" i="5"/>
  <c r="J736" i="5" s="1"/>
  <c r="AP736" i="5"/>
  <c r="K736" i="5" s="1"/>
  <c r="BD736" i="5"/>
  <c r="BF736" i="5"/>
  <c r="BJ736" i="5"/>
  <c r="L738" i="5"/>
  <c r="Z738" i="5"/>
  <c r="AB738" i="5"/>
  <c r="AC738" i="5"/>
  <c r="AF738" i="5"/>
  <c r="AG738" i="5"/>
  <c r="AH738" i="5"/>
  <c r="AJ738" i="5"/>
  <c r="AK738" i="5"/>
  <c r="AL738" i="5"/>
  <c r="AO738" i="5"/>
  <c r="AW738" i="5" s="1"/>
  <c r="AP738" i="5"/>
  <c r="BI738" i="5" s="1"/>
  <c r="AE738" i="5" s="1"/>
  <c r="BD738" i="5"/>
  <c r="BF738" i="5"/>
  <c r="BJ738" i="5"/>
  <c r="L740" i="5"/>
  <c r="AL740" i="5" s="1"/>
  <c r="Z740" i="5"/>
  <c r="AB740" i="5"/>
  <c r="AC740" i="5"/>
  <c r="AF740" i="5"/>
  <c r="AG740" i="5"/>
  <c r="AH740" i="5"/>
  <c r="AJ740" i="5"/>
  <c r="AK740" i="5"/>
  <c r="AO740" i="5"/>
  <c r="BH740" i="5" s="1"/>
  <c r="AD740" i="5" s="1"/>
  <c r="AP740" i="5"/>
  <c r="AX740" i="5" s="1"/>
  <c r="BD740" i="5"/>
  <c r="BF740" i="5"/>
  <c r="BJ740" i="5"/>
  <c r="K742" i="5"/>
  <c r="L742" i="5"/>
  <c r="AL742" i="5" s="1"/>
  <c r="Z742" i="5"/>
  <c r="AB742" i="5"/>
  <c r="AC742" i="5"/>
  <c r="AF742" i="5"/>
  <c r="AG742" i="5"/>
  <c r="AH742" i="5"/>
  <c r="AJ742" i="5"/>
  <c r="AK742" i="5"/>
  <c r="AO742" i="5"/>
  <c r="AW742" i="5" s="1"/>
  <c r="AP742" i="5"/>
  <c r="AX742" i="5"/>
  <c r="BD742" i="5"/>
  <c r="BF742" i="5"/>
  <c r="BI742" i="5"/>
  <c r="AE742" i="5" s="1"/>
  <c r="BJ742" i="5"/>
  <c r="L744" i="5"/>
  <c r="AL744" i="5" s="1"/>
  <c r="Z744" i="5"/>
  <c r="AB744" i="5"/>
  <c r="AC744" i="5"/>
  <c r="AF744" i="5"/>
  <c r="AG744" i="5"/>
  <c r="AH744" i="5"/>
  <c r="AJ744" i="5"/>
  <c r="AK744" i="5"/>
  <c r="AO744" i="5"/>
  <c r="BH744" i="5" s="1"/>
  <c r="AD744" i="5" s="1"/>
  <c r="AP744" i="5"/>
  <c r="K744" i="5" s="1"/>
  <c r="BD744" i="5"/>
  <c r="BF744" i="5"/>
  <c r="BJ744" i="5"/>
  <c r="K746" i="5"/>
  <c r="L746" i="5"/>
  <c r="AL746" i="5" s="1"/>
  <c r="Z746" i="5"/>
  <c r="AB746" i="5"/>
  <c r="AC746" i="5"/>
  <c r="AF746" i="5"/>
  <c r="AG746" i="5"/>
  <c r="AH746" i="5"/>
  <c r="AJ746" i="5"/>
  <c r="AK746" i="5"/>
  <c r="AO746" i="5"/>
  <c r="J746" i="5" s="1"/>
  <c r="AP746" i="5"/>
  <c r="AX746" i="5" s="1"/>
  <c r="BD746" i="5"/>
  <c r="BF746" i="5"/>
  <c r="BH746" i="5"/>
  <c r="AD746" i="5" s="1"/>
  <c r="BJ746" i="5"/>
  <c r="L749" i="5"/>
  <c r="Z749" i="5"/>
  <c r="AD749" i="5"/>
  <c r="AE749" i="5"/>
  <c r="AF749" i="5"/>
  <c r="AG749" i="5"/>
  <c r="AH749" i="5"/>
  <c r="AJ749" i="5"/>
  <c r="AK749" i="5"/>
  <c r="AL749" i="5"/>
  <c r="AO749" i="5"/>
  <c r="BH749" i="5" s="1"/>
  <c r="AB749" i="5" s="1"/>
  <c r="AP749" i="5"/>
  <c r="BI749" i="5" s="1"/>
  <c r="AC749" i="5" s="1"/>
  <c r="K749" i="5"/>
  <c r="BD749" i="5"/>
  <c r="BF749" i="5"/>
  <c r="BJ749" i="5"/>
  <c r="L751" i="5"/>
  <c r="AL751" i="5" s="1"/>
  <c r="Z751" i="5"/>
  <c r="AD751" i="5"/>
  <c r="AE751" i="5"/>
  <c r="AF751" i="5"/>
  <c r="AG751" i="5"/>
  <c r="AH751" i="5"/>
  <c r="AJ751" i="5"/>
  <c r="AK751" i="5"/>
  <c r="AO751" i="5"/>
  <c r="BH751" i="5" s="1"/>
  <c r="AB751" i="5" s="1"/>
  <c r="AP751" i="5"/>
  <c r="K751" i="5" s="1"/>
  <c r="BD751" i="5"/>
  <c r="BF751" i="5"/>
  <c r="BI751" i="5"/>
  <c r="AC751" i="5" s="1"/>
  <c r="BJ751" i="5"/>
  <c r="L753" i="5"/>
  <c r="Z753" i="5"/>
  <c r="AD753" i="5"/>
  <c r="AE753" i="5"/>
  <c r="AF753" i="5"/>
  <c r="AG753" i="5"/>
  <c r="AH753" i="5"/>
  <c r="AJ753" i="5"/>
  <c r="AK753" i="5"/>
  <c r="AL753" i="5"/>
  <c r="AO753" i="5"/>
  <c r="BH753" i="5" s="1"/>
  <c r="AB753" i="5" s="1"/>
  <c r="AP753" i="5"/>
  <c r="K753" i="5" s="1"/>
  <c r="BD753" i="5"/>
  <c r="BF753" i="5"/>
  <c r="BI753" i="5"/>
  <c r="AC753" i="5" s="1"/>
  <c r="BJ753" i="5"/>
  <c r="L755" i="5"/>
  <c r="Z755" i="5"/>
  <c r="AD755" i="5"/>
  <c r="AE755" i="5"/>
  <c r="AF755" i="5"/>
  <c r="AG755" i="5"/>
  <c r="AH755" i="5"/>
  <c r="AJ755" i="5"/>
  <c r="AK755" i="5"/>
  <c r="AL755" i="5"/>
  <c r="AO755" i="5"/>
  <c r="BH755" i="5" s="1"/>
  <c r="AB755" i="5" s="1"/>
  <c r="AP755" i="5"/>
  <c r="K755" i="5" s="1"/>
  <c r="AW755" i="5"/>
  <c r="BD755" i="5"/>
  <c r="BF755" i="5"/>
  <c r="BJ755" i="5"/>
  <c r="L757" i="5"/>
  <c r="AL757" i="5" s="1"/>
  <c r="Z757" i="5"/>
  <c r="AD757" i="5"/>
  <c r="AE757" i="5"/>
  <c r="AF757" i="5"/>
  <c r="AG757" i="5"/>
  <c r="AH757" i="5"/>
  <c r="AJ757" i="5"/>
  <c r="AK757" i="5"/>
  <c r="AO757" i="5"/>
  <c r="J757" i="5" s="1"/>
  <c r="AP757" i="5"/>
  <c r="AX757" i="5" s="1"/>
  <c r="BD757" i="5"/>
  <c r="BF757" i="5"/>
  <c r="BH757" i="5"/>
  <c r="AB757" i="5" s="1"/>
  <c r="BI757" i="5"/>
  <c r="AC757" i="5" s="1"/>
  <c r="BJ757" i="5"/>
  <c r="L759" i="5"/>
  <c r="Z759" i="5"/>
  <c r="AD759" i="5"/>
  <c r="AE759" i="5"/>
  <c r="AF759" i="5"/>
  <c r="AG759" i="5"/>
  <c r="AH759" i="5"/>
  <c r="AJ759" i="5"/>
  <c r="AK759" i="5"/>
  <c r="AL759" i="5"/>
  <c r="AO759" i="5"/>
  <c r="AW759" i="5" s="1"/>
  <c r="AP759" i="5"/>
  <c r="AX759" i="5" s="1"/>
  <c r="BD759" i="5"/>
  <c r="BF759" i="5"/>
  <c r="BJ759" i="5"/>
  <c r="L761" i="5"/>
  <c r="AL761" i="5" s="1"/>
  <c r="Z761" i="5"/>
  <c r="AD761" i="5"/>
  <c r="AE761" i="5"/>
  <c r="AF761" i="5"/>
  <c r="AG761" i="5"/>
  <c r="AH761" i="5"/>
  <c r="AJ761" i="5"/>
  <c r="AK761" i="5"/>
  <c r="AO761" i="5"/>
  <c r="AW761" i="5" s="1"/>
  <c r="AP761" i="5"/>
  <c r="AX761" i="5" s="1"/>
  <c r="BD761" i="5"/>
  <c r="BF761" i="5"/>
  <c r="BJ761" i="5"/>
  <c r="L765" i="5"/>
  <c r="Z765" i="5"/>
  <c r="AB765" i="5"/>
  <c r="AC765" i="5"/>
  <c r="AD765" i="5"/>
  <c r="AE765" i="5"/>
  <c r="AH765" i="5"/>
  <c r="AJ765" i="5"/>
  <c r="AK765" i="5"/>
  <c r="AL765" i="5"/>
  <c r="AO765" i="5"/>
  <c r="J765" i="5" s="1"/>
  <c r="AP765" i="5"/>
  <c r="AX765" i="5" s="1"/>
  <c r="AW765" i="5"/>
  <c r="BD765" i="5"/>
  <c r="BF765" i="5"/>
  <c r="BI765" i="5"/>
  <c r="AG765" i="5" s="1"/>
  <c r="BJ765" i="5"/>
  <c r="L766" i="5"/>
  <c r="AL766" i="5" s="1"/>
  <c r="Z766" i="5"/>
  <c r="AB766" i="5"/>
  <c r="AC766" i="5"/>
  <c r="AD766" i="5"/>
  <c r="AE766" i="5"/>
  <c r="AH766" i="5"/>
  <c r="AJ766" i="5"/>
  <c r="AK766" i="5"/>
  <c r="AO766" i="5"/>
  <c r="J766" i="5" s="1"/>
  <c r="AP766" i="5"/>
  <c r="BI766" i="5" s="1"/>
  <c r="AG766" i="5" s="1"/>
  <c r="AW766" i="5"/>
  <c r="BD766" i="5"/>
  <c r="BF766" i="5"/>
  <c r="BH766" i="5"/>
  <c r="AF766" i="5" s="1"/>
  <c r="BJ766" i="5"/>
  <c r="L767" i="5"/>
  <c r="Z767" i="5"/>
  <c r="AB767" i="5"/>
  <c r="AC767" i="5"/>
  <c r="AD767" i="5"/>
  <c r="AE767" i="5"/>
  <c r="AH767" i="5"/>
  <c r="AJ767" i="5"/>
  <c r="AK767" i="5"/>
  <c r="AL767" i="5"/>
  <c r="AO767" i="5"/>
  <c r="J767" i="5" s="1"/>
  <c r="AP767" i="5"/>
  <c r="AX767" i="5" s="1"/>
  <c r="BD767" i="5"/>
  <c r="BF767" i="5"/>
  <c r="BH767" i="5"/>
  <c r="AF767" i="5" s="1"/>
  <c r="BJ767" i="5"/>
  <c r="L768" i="5"/>
  <c r="AL768" i="5" s="1"/>
  <c r="Z768" i="5"/>
  <c r="AB768" i="5"/>
  <c r="AC768" i="5"/>
  <c r="AD768" i="5"/>
  <c r="AE768" i="5"/>
  <c r="AH768" i="5"/>
  <c r="AJ768" i="5"/>
  <c r="AK768" i="5"/>
  <c r="AO768" i="5"/>
  <c r="AW768" i="5" s="1"/>
  <c r="AP768" i="5"/>
  <c r="K768" i="5" s="1"/>
  <c r="BD768" i="5"/>
  <c r="BF768" i="5"/>
  <c r="BJ768" i="5"/>
  <c r="L769" i="5"/>
  <c r="AL769" i="5" s="1"/>
  <c r="Z769" i="5"/>
  <c r="AB769" i="5"/>
  <c r="AC769" i="5"/>
  <c r="AD769" i="5"/>
  <c r="AE769" i="5"/>
  <c r="AH769" i="5"/>
  <c r="AJ769" i="5"/>
  <c r="AK769" i="5"/>
  <c r="AO769" i="5"/>
  <c r="AW769" i="5" s="1"/>
  <c r="AP769" i="5"/>
  <c r="AX769" i="5" s="1"/>
  <c r="BD769" i="5"/>
  <c r="BF769" i="5"/>
  <c r="BJ769" i="5"/>
  <c r="L770" i="5"/>
  <c r="Z770" i="5"/>
  <c r="AD770" i="5"/>
  <c r="AE770" i="5"/>
  <c r="AF770" i="5"/>
  <c r="AG770" i="5"/>
  <c r="AH770" i="5"/>
  <c r="AJ770" i="5"/>
  <c r="AK770" i="5"/>
  <c r="AL770" i="5"/>
  <c r="AO770" i="5"/>
  <c r="AW770" i="5" s="1"/>
  <c r="AP770" i="5"/>
  <c r="AX770" i="5" s="1"/>
  <c r="BD770" i="5"/>
  <c r="BF770" i="5"/>
  <c r="BH770" i="5"/>
  <c r="AB770" i="5" s="1"/>
  <c r="BJ770" i="5"/>
  <c r="K771" i="5"/>
  <c r="L771" i="5"/>
  <c r="AL771" i="5" s="1"/>
  <c r="Z771" i="5"/>
  <c r="AD771" i="5"/>
  <c r="AE771" i="5"/>
  <c r="AF771" i="5"/>
  <c r="AG771" i="5"/>
  <c r="AH771" i="5"/>
  <c r="AJ771" i="5"/>
  <c r="AK771" i="5"/>
  <c r="AO771" i="5"/>
  <c r="J771" i="5" s="1"/>
  <c r="AP771" i="5"/>
  <c r="AW771" i="5"/>
  <c r="AV771" i="5" s="1"/>
  <c r="AX771" i="5"/>
  <c r="BD771" i="5"/>
  <c r="BF771" i="5"/>
  <c r="BH771" i="5"/>
  <c r="AB771" i="5" s="1"/>
  <c r="BI771" i="5"/>
  <c r="AC771" i="5" s="1"/>
  <c r="BJ771" i="5"/>
  <c r="L772" i="5"/>
  <c r="Z772" i="5"/>
  <c r="AD772" i="5"/>
  <c r="AE772" i="5"/>
  <c r="AF772" i="5"/>
  <c r="AG772" i="5"/>
  <c r="AH772" i="5"/>
  <c r="AJ772" i="5"/>
  <c r="AK772" i="5"/>
  <c r="AL772" i="5"/>
  <c r="AO772" i="5"/>
  <c r="AW772" i="5" s="1"/>
  <c r="AP772" i="5"/>
  <c r="AX772" i="5" s="1"/>
  <c r="BD772" i="5"/>
  <c r="BF772" i="5"/>
  <c r="BJ772" i="5"/>
  <c r="L773" i="5"/>
  <c r="Z773" i="5"/>
  <c r="AD773" i="5"/>
  <c r="AE773" i="5"/>
  <c r="AF773" i="5"/>
  <c r="AG773" i="5"/>
  <c r="AH773" i="5"/>
  <c r="AJ773" i="5"/>
  <c r="AK773" i="5"/>
  <c r="AL773" i="5"/>
  <c r="AO773" i="5"/>
  <c r="AW773" i="5" s="1"/>
  <c r="AP773" i="5"/>
  <c r="AX773" i="5" s="1"/>
  <c r="BD773" i="5"/>
  <c r="BF773" i="5"/>
  <c r="BI773" i="5"/>
  <c r="AC773" i="5" s="1"/>
  <c r="BJ773" i="5"/>
  <c r="K774" i="5"/>
  <c r="L774" i="5"/>
  <c r="AL774" i="5" s="1"/>
  <c r="Z774" i="5"/>
  <c r="AD774" i="5"/>
  <c r="AE774" i="5"/>
  <c r="AF774" i="5"/>
  <c r="AG774" i="5"/>
  <c r="AH774" i="5"/>
  <c r="AJ774" i="5"/>
  <c r="AK774" i="5"/>
  <c r="AO774" i="5"/>
  <c r="J774" i="5" s="1"/>
  <c r="AP774" i="5"/>
  <c r="AX774" i="5"/>
  <c r="BD774" i="5"/>
  <c r="BF774" i="5"/>
  <c r="BI774" i="5"/>
  <c r="AC774" i="5" s="1"/>
  <c r="BJ774" i="5"/>
  <c r="L775" i="5"/>
  <c r="AL775" i="5" s="1"/>
  <c r="Z775" i="5"/>
  <c r="AB775" i="5"/>
  <c r="AC775" i="5"/>
  <c r="AD775" i="5"/>
  <c r="AE775" i="5"/>
  <c r="AH775" i="5"/>
  <c r="AJ775" i="5"/>
  <c r="AK775" i="5"/>
  <c r="AO775" i="5"/>
  <c r="J775" i="5" s="1"/>
  <c r="AP775" i="5"/>
  <c r="AX775" i="5" s="1"/>
  <c r="BD775" i="5"/>
  <c r="BF775" i="5"/>
  <c r="BJ775" i="5"/>
  <c r="L776" i="5"/>
  <c r="Z776" i="5"/>
  <c r="AD776" i="5"/>
  <c r="AE776" i="5"/>
  <c r="AF776" i="5"/>
  <c r="AG776" i="5"/>
  <c r="AH776" i="5"/>
  <c r="AJ776" i="5"/>
  <c r="AK776" i="5"/>
  <c r="AL776" i="5"/>
  <c r="AO776" i="5"/>
  <c r="AW776" i="5" s="1"/>
  <c r="AP776" i="5"/>
  <c r="AX776" i="5" s="1"/>
  <c r="BD776" i="5"/>
  <c r="BF776" i="5"/>
  <c r="BJ776" i="5"/>
  <c r="L777" i="5"/>
  <c r="AL777" i="5" s="1"/>
  <c r="Z777" i="5"/>
  <c r="AD777" i="5"/>
  <c r="AE777" i="5"/>
  <c r="AF777" i="5"/>
  <c r="AG777" i="5"/>
  <c r="AH777" i="5"/>
  <c r="AJ777" i="5"/>
  <c r="AK777" i="5"/>
  <c r="AO777" i="5"/>
  <c r="AW777" i="5" s="1"/>
  <c r="AP777" i="5"/>
  <c r="AX777" i="5" s="1"/>
  <c r="BD777" i="5"/>
  <c r="BF777" i="5"/>
  <c r="BH777" i="5"/>
  <c r="AB777" i="5" s="1"/>
  <c r="BI777" i="5"/>
  <c r="AC777" i="5" s="1"/>
  <c r="BJ777" i="5"/>
  <c r="L778" i="5"/>
  <c r="AL778" i="5" s="1"/>
  <c r="Z778" i="5"/>
  <c r="AD778" i="5"/>
  <c r="AE778" i="5"/>
  <c r="AF778" i="5"/>
  <c r="AG778" i="5"/>
  <c r="AH778" i="5"/>
  <c r="AJ778" i="5"/>
  <c r="AK778" i="5"/>
  <c r="AO778" i="5"/>
  <c r="J778" i="5" s="1"/>
  <c r="AP778" i="5"/>
  <c r="K778" i="5" s="1"/>
  <c r="AX778" i="5"/>
  <c r="BD778" i="5"/>
  <c r="BF778" i="5"/>
  <c r="BJ778" i="5"/>
  <c r="L779" i="5"/>
  <c r="Z779" i="5"/>
  <c r="AD779" i="5"/>
  <c r="AE779" i="5"/>
  <c r="AF779" i="5"/>
  <c r="AG779" i="5"/>
  <c r="AH779" i="5"/>
  <c r="AJ779" i="5"/>
  <c r="AK779" i="5"/>
  <c r="AL779" i="5"/>
  <c r="AO779" i="5"/>
  <c r="AW779" i="5" s="1"/>
  <c r="AP779" i="5"/>
  <c r="AX779" i="5" s="1"/>
  <c r="BD779" i="5"/>
  <c r="BF779" i="5"/>
  <c r="BH779" i="5"/>
  <c r="AB779" i="5" s="1"/>
  <c r="BJ779" i="5"/>
  <c r="K780" i="5"/>
  <c r="L780" i="5"/>
  <c r="AL780" i="5" s="1"/>
  <c r="Z780" i="5"/>
  <c r="AD780" i="5"/>
  <c r="AE780" i="5"/>
  <c r="AF780" i="5"/>
  <c r="AG780" i="5"/>
  <c r="AH780" i="5"/>
  <c r="AJ780" i="5"/>
  <c r="AK780" i="5"/>
  <c r="AO780" i="5"/>
  <c r="AW780" i="5" s="1"/>
  <c r="AP780" i="5"/>
  <c r="AX780" i="5" s="1"/>
  <c r="BD780" i="5"/>
  <c r="BF780" i="5"/>
  <c r="BI780" i="5"/>
  <c r="AC780" i="5" s="1"/>
  <c r="BJ780" i="5"/>
  <c r="L781" i="5"/>
  <c r="AL781" i="5" s="1"/>
  <c r="Z781" i="5"/>
  <c r="AD781" i="5"/>
  <c r="AE781" i="5"/>
  <c r="AF781" i="5"/>
  <c r="AG781" i="5"/>
  <c r="AH781" i="5"/>
  <c r="AJ781" i="5"/>
  <c r="AK781" i="5"/>
  <c r="AO781" i="5"/>
  <c r="AW781" i="5" s="1"/>
  <c r="AP781" i="5"/>
  <c r="AX781" i="5" s="1"/>
  <c r="BD781" i="5"/>
  <c r="BF781" i="5"/>
  <c r="BI781" i="5"/>
  <c r="AC781" i="5" s="1"/>
  <c r="BJ781" i="5"/>
  <c r="K782" i="5"/>
  <c r="L782" i="5"/>
  <c r="AL782" i="5" s="1"/>
  <c r="Z782" i="5"/>
  <c r="AD782" i="5"/>
  <c r="AE782" i="5"/>
  <c r="AF782" i="5"/>
  <c r="AG782" i="5"/>
  <c r="AH782" i="5"/>
  <c r="AJ782" i="5"/>
  <c r="AK782" i="5"/>
  <c r="AO782" i="5"/>
  <c r="J782" i="5" s="1"/>
  <c r="AP782" i="5"/>
  <c r="AW782" i="5"/>
  <c r="AV782" i="5" s="1"/>
  <c r="AX782" i="5"/>
  <c r="BD782" i="5"/>
  <c r="BF782" i="5"/>
  <c r="BH782" i="5"/>
  <c r="AB782" i="5" s="1"/>
  <c r="BI782" i="5"/>
  <c r="AC782" i="5" s="1"/>
  <c r="BJ782" i="5"/>
  <c r="L783" i="5"/>
  <c r="Z783" i="5"/>
  <c r="AD783" i="5"/>
  <c r="AE783" i="5"/>
  <c r="AF783" i="5"/>
  <c r="AG783" i="5"/>
  <c r="AH783" i="5"/>
  <c r="AJ783" i="5"/>
  <c r="AK783" i="5"/>
  <c r="AL783" i="5"/>
  <c r="AO783" i="5"/>
  <c r="AW783" i="5" s="1"/>
  <c r="AP783" i="5"/>
  <c r="K783" i="5" s="1"/>
  <c r="BD783" i="5"/>
  <c r="BF783" i="5"/>
  <c r="BJ783" i="5"/>
  <c r="L785" i="5"/>
  <c r="AL785" i="5" s="1"/>
  <c r="Z785" i="5"/>
  <c r="AB785" i="5"/>
  <c r="AC785" i="5"/>
  <c r="AD785" i="5"/>
  <c r="AE785" i="5"/>
  <c r="AH785" i="5"/>
  <c r="AJ785" i="5"/>
  <c r="AK785" i="5"/>
  <c r="AO785" i="5"/>
  <c r="AW785" i="5" s="1"/>
  <c r="AP785" i="5"/>
  <c r="K785" i="5" s="1"/>
  <c r="BD785" i="5"/>
  <c r="BF785" i="5"/>
  <c r="BJ785" i="5"/>
  <c r="K786" i="5"/>
  <c r="L786" i="5"/>
  <c r="Z786" i="5"/>
  <c r="AB786" i="5"/>
  <c r="AC786" i="5"/>
  <c r="AD786" i="5"/>
  <c r="AE786" i="5"/>
  <c r="AG786" i="5"/>
  <c r="AH786" i="5"/>
  <c r="AJ786" i="5"/>
  <c r="AK786" i="5"/>
  <c r="AO786" i="5"/>
  <c r="J786" i="5" s="1"/>
  <c r="AP786" i="5"/>
  <c r="AX786" i="5" s="1"/>
  <c r="BD786" i="5"/>
  <c r="BF786" i="5"/>
  <c r="BH786" i="5"/>
  <c r="AF786" i="5" s="1"/>
  <c r="BI786" i="5"/>
  <c r="BJ786" i="5"/>
  <c r="C2" i="6"/>
  <c r="F2" i="6"/>
  <c r="C4" i="6"/>
  <c r="F4" i="6"/>
  <c r="C6" i="6"/>
  <c r="F6" i="6"/>
  <c r="C8" i="6"/>
  <c r="F8" i="6"/>
  <c r="AS64" i="5"/>
  <c r="AW69" i="5"/>
  <c r="AX65" i="5"/>
  <c r="AW65" i="5"/>
  <c r="BC65" i="5" s="1"/>
  <c r="AS239" i="5"/>
  <c r="AT239" i="5"/>
  <c r="L239" i="5"/>
  <c r="AX419" i="5"/>
  <c r="J417" i="5"/>
  <c r="AL415" i="5"/>
  <c r="AX594" i="5"/>
  <c r="BC592" i="5"/>
  <c r="AX592" i="5"/>
  <c r="AV592" i="5" s="1"/>
  <c r="BI590" i="5"/>
  <c r="AE590" i="5" s="1"/>
  <c r="BH590" i="5"/>
  <c r="AD590" i="5"/>
  <c r="AL590" i="5"/>
  <c r="AW590" i="5"/>
  <c r="AX586" i="5"/>
  <c r="AW582" i="5"/>
  <c r="AX580" i="5"/>
  <c r="K580" i="5"/>
  <c r="AX576" i="5"/>
  <c r="AW574" i="5"/>
  <c r="BC574" i="5" s="1"/>
  <c r="AW571" i="5"/>
  <c r="AX565" i="5"/>
  <c r="AW555" i="5"/>
  <c r="AX547" i="5"/>
  <c r="AW545" i="5"/>
  <c r="AW533" i="5"/>
  <c r="AV533" i="5" s="1"/>
  <c r="J531" i="5"/>
  <c r="AX531" i="5"/>
  <c r="K529" i="5"/>
  <c r="BI529" i="5"/>
  <c r="AE529" i="5" s="1"/>
  <c r="BH525" i="5"/>
  <c r="AD525" i="5" s="1"/>
  <c r="K523" i="5"/>
  <c r="K517" i="5"/>
  <c r="AW513" i="5"/>
  <c r="AX503" i="5"/>
  <c r="J499" i="5"/>
  <c r="AX499" i="5"/>
  <c r="AV499" i="5" s="1"/>
  <c r="AW497" i="5"/>
  <c r="K497" i="5"/>
  <c r="K493" i="5"/>
  <c r="AW475" i="5"/>
  <c r="K473" i="5"/>
  <c r="AX753" i="5"/>
  <c r="AX749" i="5"/>
  <c r="AW744" i="5"/>
  <c r="AX738" i="5"/>
  <c r="AW736" i="5"/>
  <c r="AW734" i="5"/>
  <c r="AW718" i="5"/>
  <c r="AW690" i="5"/>
  <c r="BC690" i="5" s="1"/>
  <c r="AW688" i="5"/>
  <c r="AW686" i="5"/>
  <c r="BI684" i="5"/>
  <c r="AE684" i="5" s="1"/>
  <c r="AX684" i="5"/>
  <c r="AX674" i="5"/>
  <c r="AW670" i="5"/>
  <c r="AX668" i="5"/>
  <c r="AW666" i="5"/>
  <c r="BI662" i="5"/>
  <c r="AE662" i="5" s="1"/>
  <c r="AW660" i="5"/>
  <c r="AX658" i="5"/>
  <c r="AX654" i="5"/>
  <c r="J652" i="5"/>
  <c r="AL646" i="5"/>
  <c r="AW644" i="5"/>
  <c r="AX409" i="5"/>
  <c r="AW405" i="5"/>
  <c r="AX403" i="5"/>
  <c r="AL399" i="5"/>
  <c r="J396" i="5"/>
  <c r="AW394" i="5"/>
  <c r="K390" i="5"/>
  <c r="AW386" i="5"/>
  <c r="AX374" i="5"/>
  <c r="AW374" i="5"/>
  <c r="BC374" i="5" s="1"/>
  <c r="J374" i="5"/>
  <c r="J364" i="5"/>
  <c r="BH364" i="5"/>
  <c r="AD364" i="5" s="1"/>
  <c r="AX360" i="5"/>
  <c r="BC360" i="5" s="1"/>
  <c r="AW360" i="5"/>
  <c r="AX358" i="5"/>
  <c r="AW358" i="5"/>
  <c r="AW356" i="5"/>
  <c r="J350" i="5"/>
  <c r="J348" i="5"/>
  <c r="BH348" i="5"/>
  <c r="AD348" i="5"/>
  <c r="AW346" i="5"/>
  <c r="AW344" i="5"/>
  <c r="AX338" i="5"/>
  <c r="AW338" i="5"/>
  <c r="AV338" i="5" s="1"/>
  <c r="AX336" i="5"/>
  <c r="AV336" i="5" s="1"/>
  <c r="AW336" i="5"/>
  <c r="AW332" i="5"/>
  <c r="AW330" i="5"/>
  <c r="J326" i="5"/>
  <c r="AW324" i="5"/>
  <c r="AW320" i="5"/>
  <c r="BC320" i="5" s="1"/>
  <c r="J312" i="5"/>
  <c r="AW310" i="5"/>
  <c r="J310" i="5"/>
  <c r="AW308" i="5"/>
  <c r="AW306" i="5"/>
  <c r="BC300" i="5"/>
  <c r="AV300" i="5"/>
  <c r="J300" i="5"/>
  <c r="AW298" i="5"/>
  <c r="AX294" i="5"/>
  <c r="AV294" i="5" s="1"/>
  <c r="AL294" i="5"/>
  <c r="J291" i="5"/>
  <c r="BH291" i="5"/>
  <c r="AD291" i="5" s="1"/>
  <c r="AX221" i="5"/>
  <c r="AV221" i="5" s="1"/>
  <c r="AX219" i="5"/>
  <c r="AX211" i="5"/>
  <c r="BI207" i="5"/>
  <c r="AE207" i="5" s="1"/>
  <c r="AW207" i="5"/>
  <c r="BC207" i="5" s="1"/>
  <c r="AX205" i="5"/>
  <c r="AW201" i="5"/>
  <c r="J197" i="5"/>
  <c r="AW195" i="5"/>
  <c r="J191" i="5"/>
  <c r="AW189" i="5"/>
  <c r="AX181" i="5"/>
  <c r="AW181" i="5"/>
  <c r="AV181" i="5" s="1"/>
  <c r="BH240" i="5"/>
  <c r="AD240" i="5" s="1"/>
  <c r="AL240" i="5"/>
  <c r="AU239" i="5" s="1"/>
  <c r="L33" i="4"/>
  <c r="N33" i="4" s="1"/>
  <c r="AW240" i="5"/>
  <c r="J232" i="5"/>
  <c r="AS223" i="5"/>
  <c r="AT223" i="5"/>
  <c r="AX226" i="5"/>
  <c r="AX224" i="5"/>
  <c r="AW215" i="5"/>
  <c r="AW179" i="5"/>
  <c r="AX177" i="5"/>
  <c r="AW177" i="5"/>
  <c r="BC177" i="5" s="1"/>
  <c r="K169" i="5"/>
  <c r="AW163" i="5"/>
  <c r="J161" i="5"/>
  <c r="AX159" i="5"/>
  <c r="AV151" i="5"/>
  <c r="BC151" i="5"/>
  <c r="AX151" i="5"/>
  <c r="AW147" i="5"/>
  <c r="BC147" i="5" s="1"/>
  <c r="K147" i="5"/>
  <c r="AW137" i="5"/>
  <c r="BC137" i="5" s="1"/>
  <c r="AX135" i="5"/>
  <c r="AW135" i="5"/>
  <c r="AW133" i="5"/>
  <c r="BC133" i="5" s="1"/>
  <c r="K133" i="5"/>
  <c r="AX131" i="5"/>
  <c r="AW131" i="5"/>
  <c r="BC131" i="5" s="1"/>
  <c r="AW127" i="5"/>
  <c r="AW125" i="5"/>
  <c r="AX121" i="5"/>
  <c r="BC121" i="5" s="1"/>
  <c r="AW121" i="5"/>
  <c r="AL119" i="5"/>
  <c r="AX116" i="5"/>
  <c r="BC533" i="5"/>
  <c r="BC499" i="5"/>
  <c r="BC497" i="5"/>
  <c r="AV497" i="5"/>
  <c r="AV358" i="5"/>
  <c r="BC336" i="5"/>
  <c r="BC308" i="5"/>
  <c r="AV308" i="5"/>
  <c r="BC221" i="5"/>
  <c r="K89" i="5" l="1"/>
  <c r="J89" i="5"/>
  <c r="BC781" i="5"/>
  <c r="AV781" i="5"/>
  <c r="AV394" i="5"/>
  <c r="BC394" i="5"/>
  <c r="AV682" i="5"/>
  <c r="BC403" i="5"/>
  <c r="AV403" i="5"/>
  <c r="AV121" i="5"/>
  <c r="AV135" i="5"/>
  <c r="AW674" i="5"/>
  <c r="BC674" i="5" s="1"/>
  <c r="AS784" i="5"/>
  <c r="L784" i="5"/>
  <c r="L55" i="4" s="1"/>
  <c r="N55" i="4" s="1"/>
  <c r="AW778" i="5"/>
  <c r="AV778" i="5" s="1"/>
  <c r="AW775" i="5"/>
  <c r="K766" i="5"/>
  <c r="BI746" i="5"/>
  <c r="AE746" i="5" s="1"/>
  <c r="AW740" i="5"/>
  <c r="BH736" i="5"/>
  <c r="AD736" i="5" s="1"/>
  <c r="BH734" i="5"/>
  <c r="AD734" i="5" s="1"/>
  <c r="BI732" i="5"/>
  <c r="AE732" i="5" s="1"/>
  <c r="BH730" i="5"/>
  <c r="AD730" i="5" s="1"/>
  <c r="BH728" i="5"/>
  <c r="AD728" i="5" s="1"/>
  <c r="K726" i="5"/>
  <c r="AX722" i="5"/>
  <c r="J718" i="5"/>
  <c r="AX712" i="5"/>
  <c r="AW694" i="5"/>
  <c r="J670" i="5"/>
  <c r="J666" i="5"/>
  <c r="AX660" i="5"/>
  <c r="AW648" i="5"/>
  <c r="BH646" i="5"/>
  <c r="AD646" i="5" s="1"/>
  <c r="K646" i="5"/>
  <c r="J641" i="5"/>
  <c r="K627" i="5"/>
  <c r="K586" i="5"/>
  <c r="K578" i="5"/>
  <c r="J571" i="5"/>
  <c r="BH551" i="5"/>
  <c r="AD551" i="5" s="1"/>
  <c r="BI533" i="5"/>
  <c r="AE533" i="5" s="1"/>
  <c r="AX523" i="5"/>
  <c r="J517" i="5"/>
  <c r="K491" i="5"/>
  <c r="BI487" i="5"/>
  <c r="AE487" i="5" s="1"/>
  <c r="K485" i="5"/>
  <c r="BH477" i="5"/>
  <c r="AD477" i="5" s="1"/>
  <c r="BH473" i="5"/>
  <c r="AD473" i="5" s="1"/>
  <c r="J471" i="5"/>
  <c r="K469" i="5"/>
  <c r="BI456" i="5"/>
  <c r="AE456" i="5" s="1"/>
  <c r="BH452" i="5"/>
  <c r="AD452" i="5" s="1"/>
  <c r="K452" i="5"/>
  <c r="BI446" i="5"/>
  <c r="AE446" i="5" s="1"/>
  <c r="K422" i="5"/>
  <c r="BI415" i="5"/>
  <c r="AE415" i="5" s="1"/>
  <c r="AW407" i="5"/>
  <c r="BI390" i="5"/>
  <c r="AE390" i="5" s="1"/>
  <c r="BH380" i="5"/>
  <c r="AD380" i="5" s="1"/>
  <c r="BI362" i="5"/>
  <c r="AE362" i="5" s="1"/>
  <c r="BI336" i="5"/>
  <c r="AE336" i="5" s="1"/>
  <c r="K318" i="5"/>
  <c r="BI318" i="5"/>
  <c r="AE318" i="5" s="1"/>
  <c r="AX269" i="5"/>
  <c r="BI269" i="5"/>
  <c r="AE269" i="5" s="1"/>
  <c r="BC57" i="5"/>
  <c r="AV57" i="5"/>
  <c r="AV674" i="5"/>
  <c r="BC782" i="5"/>
  <c r="AV775" i="5"/>
  <c r="BC771" i="5"/>
  <c r="AX766" i="5"/>
  <c r="AX755" i="5"/>
  <c r="AV755" i="5" s="1"/>
  <c r="J749" i="5"/>
  <c r="BC740" i="5"/>
  <c r="K738" i="5"/>
  <c r="K716" i="5"/>
  <c r="AX710" i="5"/>
  <c r="K694" i="5"/>
  <c r="AX692" i="5"/>
  <c r="J682" i="5"/>
  <c r="K664" i="5"/>
  <c r="AX610" i="5"/>
  <c r="BI549" i="5"/>
  <c r="AE549" i="5" s="1"/>
  <c r="AX543" i="5"/>
  <c r="BC543" i="5" s="1"/>
  <c r="K541" i="5"/>
  <c r="AW535" i="5"/>
  <c r="J515" i="5"/>
  <c r="AW507" i="5"/>
  <c r="BI499" i="5"/>
  <c r="AE499" i="5" s="1"/>
  <c r="AX489" i="5"/>
  <c r="BH487" i="5"/>
  <c r="AD487" i="5" s="1"/>
  <c r="BI485" i="5"/>
  <c r="AE485" i="5" s="1"/>
  <c r="J485" i="5"/>
  <c r="J469" i="5"/>
  <c r="K456" i="5"/>
  <c r="BH446" i="5"/>
  <c r="AD446" i="5" s="1"/>
  <c r="K446" i="5"/>
  <c r="BI437" i="5"/>
  <c r="AE437" i="5" s="1"/>
  <c r="J437" i="5"/>
  <c r="J435" i="5"/>
  <c r="J422" i="5"/>
  <c r="J399" i="5"/>
  <c r="AX392" i="5"/>
  <c r="BI388" i="5"/>
  <c r="AE388" i="5" s="1"/>
  <c r="BI378" i="5"/>
  <c r="AE378" i="5" s="1"/>
  <c r="J372" i="5"/>
  <c r="BI352" i="5"/>
  <c r="AE352" i="5" s="1"/>
  <c r="AX275" i="5"/>
  <c r="BI275" i="5"/>
  <c r="AE275" i="5" s="1"/>
  <c r="AV660" i="5"/>
  <c r="K574" i="5"/>
  <c r="K549" i="5"/>
  <c r="K535" i="5"/>
  <c r="J521" i="5"/>
  <c r="AX519" i="5"/>
  <c r="BI515" i="5"/>
  <c r="AE515" i="5" s="1"/>
  <c r="J503" i="5"/>
  <c r="AV481" i="5"/>
  <c r="AX439" i="5"/>
  <c r="BH437" i="5"/>
  <c r="AD437" i="5" s="1"/>
  <c r="AS432" i="5"/>
  <c r="AX401" i="5"/>
  <c r="BI368" i="5"/>
  <c r="AE368" i="5" s="1"/>
  <c r="BI326" i="5"/>
  <c r="AE326" i="5" s="1"/>
  <c r="AW283" i="5"/>
  <c r="J283" i="5"/>
  <c r="BH283" i="5"/>
  <c r="AD283" i="5" s="1"/>
  <c r="BH674" i="5"/>
  <c r="AD674" i="5" s="1"/>
  <c r="AX694" i="5"/>
  <c r="BH785" i="5"/>
  <c r="AF785" i="5" s="1"/>
  <c r="BI783" i="5"/>
  <c r="AC783" i="5" s="1"/>
  <c r="BH781" i="5"/>
  <c r="AB781" i="5" s="1"/>
  <c r="BI778" i="5"/>
  <c r="AC778" i="5" s="1"/>
  <c r="AW774" i="5"/>
  <c r="AV774" i="5" s="1"/>
  <c r="BI772" i="5"/>
  <c r="AC772" i="5" s="1"/>
  <c r="BI769" i="5"/>
  <c r="AG769" i="5" s="1"/>
  <c r="K757" i="5"/>
  <c r="AW728" i="5"/>
  <c r="K718" i="5"/>
  <c r="BH696" i="5"/>
  <c r="AD696" i="5" s="1"/>
  <c r="BH688" i="5"/>
  <c r="AD688" i="5" s="1"/>
  <c r="BH682" i="5"/>
  <c r="AD682" i="5" s="1"/>
  <c r="K670" i="5"/>
  <c r="K666" i="5"/>
  <c r="K652" i="5"/>
  <c r="BH639" i="5"/>
  <c r="AD639" i="5" s="1"/>
  <c r="BI635" i="5"/>
  <c r="AE635" i="5" s="1"/>
  <c r="AW633" i="5"/>
  <c r="AV633" i="5" s="1"/>
  <c r="BH631" i="5"/>
  <c r="AD631" i="5" s="1"/>
  <c r="BH625" i="5"/>
  <c r="AD625" i="5" s="1"/>
  <c r="BH621" i="5"/>
  <c r="AD621" i="5" s="1"/>
  <c r="BI614" i="5"/>
  <c r="AE614" i="5" s="1"/>
  <c r="BH612" i="5"/>
  <c r="AD612" i="5" s="1"/>
  <c r="J612" i="5"/>
  <c r="BH599" i="5"/>
  <c r="AD599" i="5" s="1"/>
  <c r="BI597" i="5"/>
  <c r="AE597" i="5" s="1"/>
  <c r="BI582" i="5"/>
  <c r="AC582" i="5" s="1"/>
  <c r="BH565" i="5"/>
  <c r="AD565" i="5" s="1"/>
  <c r="AV563" i="5"/>
  <c r="AV543" i="5"/>
  <c r="BC422" i="5"/>
  <c r="AX399" i="5"/>
  <c r="BC364" i="5"/>
  <c r="AX362" i="5"/>
  <c r="K358" i="5"/>
  <c r="AW328" i="5"/>
  <c r="AV328" i="5" s="1"/>
  <c r="AV207" i="5"/>
  <c r="BC358" i="5"/>
  <c r="AX664" i="5"/>
  <c r="AX676" i="5"/>
  <c r="BC676" i="5" s="1"/>
  <c r="AX700" i="5"/>
  <c r="AV700" i="5" s="1"/>
  <c r="AW749" i="5"/>
  <c r="AW786" i="5"/>
  <c r="AV786" i="5" s="1"/>
  <c r="BH783" i="5"/>
  <c r="AB783" i="5" s="1"/>
  <c r="BH778" i="5"/>
  <c r="AB778" i="5" s="1"/>
  <c r="BI776" i="5"/>
  <c r="AC776" i="5" s="1"/>
  <c r="BH772" i="5"/>
  <c r="AB772" i="5" s="1"/>
  <c r="BH769" i="5"/>
  <c r="AF769" i="5" s="1"/>
  <c r="BI767" i="5"/>
  <c r="AG767" i="5" s="1"/>
  <c r="J740" i="5"/>
  <c r="K712" i="5"/>
  <c r="BI648" i="5"/>
  <c r="AE648" i="5" s="1"/>
  <c r="J648" i="5"/>
  <c r="AW646" i="5"/>
  <c r="BC646" i="5" s="1"/>
  <c r="BH635" i="5"/>
  <c r="AD635" i="5" s="1"/>
  <c r="AW627" i="5"/>
  <c r="AV627" i="5" s="1"/>
  <c r="BH597" i="5"/>
  <c r="AD597" i="5" s="1"/>
  <c r="J592" i="5"/>
  <c r="AW584" i="5"/>
  <c r="BH582" i="5"/>
  <c r="AB582" i="5" s="1"/>
  <c r="BH580" i="5"/>
  <c r="AB580" i="5" s="1"/>
  <c r="BI578" i="5"/>
  <c r="AC578" i="5" s="1"/>
  <c r="BI574" i="5"/>
  <c r="AC574" i="5" s="1"/>
  <c r="BI547" i="5"/>
  <c r="AE547" i="5" s="1"/>
  <c r="K527" i="5"/>
  <c r="AX487" i="5"/>
  <c r="AW471" i="5"/>
  <c r="BC471" i="5" s="1"/>
  <c r="AV452" i="5"/>
  <c r="AV422" i="5"/>
  <c r="J376" i="5"/>
  <c r="K366" i="5"/>
  <c r="BI366" i="5"/>
  <c r="AE366" i="5" s="1"/>
  <c r="J360" i="5"/>
  <c r="K356" i="5"/>
  <c r="K350" i="5"/>
  <c r="J340" i="5"/>
  <c r="BH340" i="5"/>
  <c r="AD340" i="5" s="1"/>
  <c r="AW247" i="5"/>
  <c r="J247" i="5"/>
  <c r="BH247" i="5"/>
  <c r="AD247" i="5" s="1"/>
  <c r="AV766" i="5"/>
  <c r="AV65" i="5"/>
  <c r="AV360" i="5"/>
  <c r="BI676" i="5"/>
  <c r="AE676" i="5" s="1"/>
  <c r="AW706" i="5"/>
  <c r="K781" i="5"/>
  <c r="BH775" i="5"/>
  <c r="AF775" i="5" s="1"/>
  <c r="K765" i="5"/>
  <c r="AW757" i="5"/>
  <c r="BI755" i="5"/>
  <c r="AC755" i="5" s="1"/>
  <c r="AW746" i="5"/>
  <c r="BC746" i="5" s="1"/>
  <c r="AX724" i="5"/>
  <c r="BI722" i="5"/>
  <c r="AE722" i="5" s="1"/>
  <c r="BI716" i="5"/>
  <c r="AE716" i="5" s="1"/>
  <c r="BH694" i="5"/>
  <c r="AD694" i="5" s="1"/>
  <c r="K682" i="5"/>
  <c r="BI660" i="5"/>
  <c r="AE660" i="5" s="1"/>
  <c r="AX637" i="5"/>
  <c r="BI610" i="5"/>
  <c r="AE610" i="5" s="1"/>
  <c r="BI545" i="5"/>
  <c r="AE545" i="5" s="1"/>
  <c r="AX515" i="5"/>
  <c r="AV456" i="5"/>
  <c r="AV446" i="5"/>
  <c r="AT398" i="5"/>
  <c r="BH388" i="5"/>
  <c r="AD388" i="5" s="1"/>
  <c r="K324" i="5"/>
  <c r="BI324" i="5"/>
  <c r="AE324" i="5" s="1"/>
  <c r="BC322" i="5"/>
  <c r="K314" i="5"/>
  <c r="BI314" i="5"/>
  <c r="AE314" i="5" s="1"/>
  <c r="BC774" i="5"/>
  <c r="K784" i="5"/>
  <c r="K55" i="4" s="1"/>
  <c r="J781" i="5"/>
  <c r="AX768" i="5"/>
  <c r="BH759" i="5"/>
  <c r="AB759" i="5" s="1"/>
  <c r="J759" i="5"/>
  <c r="AX751" i="5"/>
  <c r="J738" i="5"/>
  <c r="K732" i="5"/>
  <c r="J722" i="5"/>
  <c r="BI714" i="5"/>
  <c r="AE714" i="5" s="1"/>
  <c r="BI710" i="5"/>
  <c r="AE710" i="5" s="1"/>
  <c r="BH706" i="5"/>
  <c r="AD706" i="5" s="1"/>
  <c r="BI704" i="5"/>
  <c r="AE704" i="5" s="1"/>
  <c r="BI700" i="5"/>
  <c r="AE700" i="5" s="1"/>
  <c r="K692" i="5"/>
  <c r="K680" i="5"/>
  <c r="K656" i="5"/>
  <c r="AX639" i="5"/>
  <c r="AX625" i="5"/>
  <c r="AX621" i="5"/>
  <c r="AX614" i="5"/>
  <c r="BI608" i="5"/>
  <c r="AE608" i="5" s="1"/>
  <c r="AW565" i="5"/>
  <c r="BI563" i="5"/>
  <c r="AE563" i="5" s="1"/>
  <c r="J561" i="5"/>
  <c r="BC531" i="5"/>
  <c r="K519" i="5"/>
  <c r="AV409" i="5"/>
  <c r="AS398" i="5"/>
  <c r="J382" i="5"/>
  <c r="BH302" i="5"/>
  <c r="AD302" i="5" s="1"/>
  <c r="AW302" i="5"/>
  <c r="AV230" i="5"/>
  <c r="BC230" i="5"/>
  <c r="AT784" i="5"/>
  <c r="BC765" i="5"/>
  <c r="BH761" i="5"/>
  <c r="AB761" i="5" s="1"/>
  <c r="J755" i="5"/>
  <c r="BH708" i="5"/>
  <c r="AD708" i="5" s="1"/>
  <c r="BH702" i="5"/>
  <c r="AD702" i="5" s="1"/>
  <c r="AW696" i="5"/>
  <c r="AV696" i="5" s="1"/>
  <c r="J692" i="5"/>
  <c r="BI680" i="5"/>
  <c r="AE680" i="5" s="1"/>
  <c r="BI658" i="5"/>
  <c r="AE658" i="5" s="1"/>
  <c r="BI656" i="5"/>
  <c r="AE656" i="5" s="1"/>
  <c r="AW639" i="5"/>
  <c r="AW631" i="5"/>
  <c r="BC631" i="5" s="1"/>
  <c r="AW625" i="5"/>
  <c r="BC612" i="5"/>
  <c r="BH464" i="5"/>
  <c r="AD464" i="5" s="1"/>
  <c r="BH462" i="5"/>
  <c r="AD462" i="5" s="1"/>
  <c r="BH460" i="5"/>
  <c r="AD460" i="5" s="1"/>
  <c r="BI452" i="5"/>
  <c r="AE452" i="5" s="1"/>
  <c r="BH439" i="5"/>
  <c r="AD439" i="5" s="1"/>
  <c r="BH401" i="5"/>
  <c r="AB401" i="5" s="1"/>
  <c r="AW384" i="5"/>
  <c r="AV384" i="5" s="1"/>
  <c r="BH382" i="5"/>
  <c r="AD382" i="5" s="1"/>
  <c r="BH328" i="5"/>
  <c r="AD328" i="5" s="1"/>
  <c r="AW326" i="5"/>
  <c r="AV326" i="5" s="1"/>
  <c r="AX318" i="5"/>
  <c r="BC318" i="5" s="1"/>
  <c r="K260" i="5"/>
  <c r="BI260" i="5"/>
  <c r="AE260" i="5" s="1"/>
  <c r="BC83" i="5"/>
  <c r="AV83" i="5"/>
  <c r="BC294" i="5"/>
  <c r="K209" i="5"/>
  <c r="J129" i="5"/>
  <c r="BC100" i="5"/>
  <c r="BI96" i="5"/>
  <c r="AE96" i="5" s="1"/>
  <c r="BI94" i="5"/>
  <c r="AE94" i="5" s="1"/>
  <c r="K94" i="5"/>
  <c r="BC87" i="5"/>
  <c r="BI60" i="5"/>
  <c r="BH47" i="5"/>
  <c r="AB47" i="5" s="1"/>
  <c r="K44" i="5"/>
  <c r="K30" i="5"/>
  <c r="K322" i="5"/>
  <c r="AW304" i="5"/>
  <c r="AX285" i="5"/>
  <c r="BI281" i="5"/>
  <c r="AE281" i="5" s="1"/>
  <c r="AW262" i="5"/>
  <c r="AV262" i="5" s="1"/>
  <c r="AW249" i="5"/>
  <c r="AV249" i="5" s="1"/>
  <c r="BC215" i="5"/>
  <c r="AX209" i="5"/>
  <c r="AV209" i="5" s="1"/>
  <c r="AW155" i="5"/>
  <c r="BI151" i="5"/>
  <c r="AE151" i="5" s="1"/>
  <c r="J131" i="5"/>
  <c r="BH127" i="5"/>
  <c r="AD127" i="5" s="1"/>
  <c r="J125" i="5"/>
  <c r="BH108" i="5"/>
  <c r="AD108" i="5" s="1"/>
  <c r="BH96" i="5"/>
  <c r="AD96" i="5" s="1"/>
  <c r="BH94" i="5"/>
  <c r="AD94" i="5" s="1"/>
  <c r="L93" i="5"/>
  <c r="L29" i="4" s="1"/>
  <c r="N29" i="4" s="1"/>
  <c r="BH83" i="5"/>
  <c r="AD83" i="5" s="1"/>
  <c r="AT82" i="5"/>
  <c r="L82" i="5"/>
  <c r="L28" i="4" s="1"/>
  <c r="N28" i="4" s="1"/>
  <c r="AX80" i="5"/>
  <c r="BI76" i="5"/>
  <c r="AE76" i="5" s="1"/>
  <c r="BH60" i="5"/>
  <c r="K60" i="5"/>
  <c r="AX58" i="5"/>
  <c r="BI57" i="5"/>
  <c r="K52" i="5"/>
  <c r="AX44" i="5"/>
  <c r="J44" i="5"/>
  <c r="AX42" i="5"/>
  <c r="J42" i="5"/>
  <c r="J41" i="5" s="1"/>
  <c r="J19" i="4" s="1"/>
  <c r="AX37" i="5"/>
  <c r="AW34" i="5"/>
  <c r="AV34" i="5" s="1"/>
  <c r="AX30" i="5"/>
  <c r="BI273" i="5"/>
  <c r="AE273" i="5" s="1"/>
  <c r="J251" i="5"/>
  <c r="AW232" i="5"/>
  <c r="BC228" i="5"/>
  <c r="BH226" i="5"/>
  <c r="AB226" i="5" s="1"/>
  <c r="K215" i="5"/>
  <c r="BH213" i="5"/>
  <c r="AD213" i="5" s="1"/>
  <c r="BH207" i="5"/>
  <c r="AD207" i="5" s="1"/>
  <c r="J195" i="5"/>
  <c r="AW191" i="5"/>
  <c r="AX189" i="5"/>
  <c r="J163" i="5"/>
  <c r="AX161" i="5"/>
  <c r="AV161" i="5" s="1"/>
  <c r="BI145" i="5"/>
  <c r="AE145" i="5" s="1"/>
  <c r="AW129" i="5"/>
  <c r="BC129" i="5" s="1"/>
  <c r="K121" i="5"/>
  <c r="J108" i="5"/>
  <c r="AX102" i="5"/>
  <c r="AV102" i="5" s="1"/>
  <c r="AX89" i="5"/>
  <c r="AV89" i="5" s="1"/>
  <c r="AW80" i="5"/>
  <c r="AV80" i="5" s="1"/>
  <c r="BH69" i="5"/>
  <c r="AD69" i="5" s="1"/>
  <c r="AW44" i="5"/>
  <c r="AW42" i="5"/>
  <c r="AV42" i="5" s="1"/>
  <c r="AW30" i="5"/>
  <c r="AV30" i="5" s="1"/>
  <c r="BI29" i="5"/>
  <c r="AC29" i="5" s="1"/>
  <c r="BH24" i="5"/>
  <c r="AB24" i="5" s="1"/>
  <c r="BI287" i="5"/>
  <c r="AE287" i="5" s="1"/>
  <c r="K287" i="5"/>
  <c r="BI264" i="5"/>
  <c r="AE264" i="5" s="1"/>
  <c r="K264" i="5"/>
  <c r="BH251" i="5"/>
  <c r="AD251" i="5" s="1"/>
  <c r="BC209" i="5"/>
  <c r="K189" i="5"/>
  <c r="K161" i="5"/>
  <c r="BI157" i="5"/>
  <c r="AE157" i="5" s="1"/>
  <c r="K157" i="5"/>
  <c r="AX141" i="5"/>
  <c r="BC141" i="5" s="1"/>
  <c r="BI127" i="5"/>
  <c r="AE127" i="5" s="1"/>
  <c r="BC114" i="5"/>
  <c r="BI112" i="5"/>
  <c r="AE112" i="5" s="1"/>
  <c r="BC102" i="5"/>
  <c r="BI100" i="5"/>
  <c r="AE100" i="5" s="1"/>
  <c r="BI91" i="5"/>
  <c r="AE91" i="5" s="1"/>
  <c r="BI87" i="5"/>
  <c r="AE87" i="5" s="1"/>
  <c r="J83" i="5"/>
  <c r="BH74" i="5"/>
  <c r="AD74" i="5" s="1"/>
  <c r="BH65" i="5"/>
  <c r="AD65" i="5" s="1"/>
  <c r="BI62" i="5"/>
  <c r="BH59" i="5"/>
  <c r="J59" i="5"/>
  <c r="BH45" i="5"/>
  <c r="J45" i="5"/>
  <c r="BH294" i="5"/>
  <c r="AD294" i="5" s="1"/>
  <c r="BI285" i="5"/>
  <c r="AE285" i="5" s="1"/>
  <c r="BI262" i="5"/>
  <c r="AE262" i="5" s="1"/>
  <c r="AT257" i="5"/>
  <c r="BH249" i="5"/>
  <c r="AD249" i="5" s="1"/>
  <c r="BH199" i="5"/>
  <c r="AD199" i="5" s="1"/>
  <c r="BH197" i="5"/>
  <c r="AD197" i="5" s="1"/>
  <c r="BI173" i="5"/>
  <c r="AE173" i="5" s="1"/>
  <c r="BI171" i="5"/>
  <c r="AE171" i="5" s="1"/>
  <c r="BI169" i="5"/>
  <c r="AE169" i="5" s="1"/>
  <c r="BI167" i="5"/>
  <c r="AE167" i="5" s="1"/>
  <c r="BI165" i="5"/>
  <c r="AE165" i="5" s="1"/>
  <c r="K163" i="5"/>
  <c r="BI155" i="5"/>
  <c r="AE155" i="5" s="1"/>
  <c r="K125" i="5"/>
  <c r="BH106" i="5"/>
  <c r="AD106" i="5" s="1"/>
  <c r="J57" i="5"/>
  <c r="BH51" i="5"/>
  <c r="AB51" i="5" s="1"/>
  <c r="AV50" i="5"/>
  <c r="AV35" i="5"/>
  <c r="BH34" i="5"/>
  <c r="AB34" i="5" s="1"/>
  <c r="K20" i="5"/>
  <c r="BI18" i="5"/>
  <c r="AC18" i="5" s="1"/>
  <c r="BH15" i="5"/>
  <c r="AD15" i="5" s="1"/>
  <c r="BI14" i="5"/>
  <c r="AE14" i="5" s="1"/>
  <c r="BH304" i="5"/>
  <c r="AD304" i="5" s="1"/>
  <c r="BH285" i="5"/>
  <c r="AD285" i="5" s="1"/>
  <c r="BI279" i="5"/>
  <c r="AE279" i="5" s="1"/>
  <c r="K279" i="5"/>
  <c r="BI271" i="5"/>
  <c r="AE271" i="5" s="1"/>
  <c r="BH262" i="5"/>
  <c r="AD262" i="5" s="1"/>
  <c r="BI236" i="5"/>
  <c r="AC236" i="5" s="1"/>
  <c r="BI234" i="5"/>
  <c r="AC234" i="5" s="1"/>
  <c r="BI163" i="5"/>
  <c r="AE163" i="5" s="1"/>
  <c r="BI153" i="5"/>
  <c r="AE153" i="5" s="1"/>
  <c r="BI143" i="5"/>
  <c r="AE143" i="5" s="1"/>
  <c r="AX127" i="5"/>
  <c r="BC127" i="5" s="1"/>
  <c r="BI116" i="5"/>
  <c r="AE116" i="5" s="1"/>
  <c r="BI110" i="5"/>
  <c r="AE110" i="5" s="1"/>
  <c r="K110" i="5"/>
  <c r="BI98" i="5"/>
  <c r="AE98" i="5" s="1"/>
  <c r="K98" i="5"/>
  <c r="BI85" i="5"/>
  <c r="AE85" i="5" s="1"/>
  <c r="BH80" i="5"/>
  <c r="AD80" i="5" s="1"/>
  <c r="AX74" i="5"/>
  <c r="BH58" i="5"/>
  <c r="BI53" i="5"/>
  <c r="AC53" i="5" s="1"/>
  <c r="K47" i="5"/>
  <c r="K46" i="5" s="1"/>
  <c r="K21" i="4" s="1"/>
  <c r="BH37" i="5"/>
  <c r="AB37" i="5" s="1"/>
  <c r="BH30" i="5"/>
  <c r="AB30" i="5" s="1"/>
  <c r="BI27" i="5"/>
  <c r="AC27" i="5" s="1"/>
  <c r="BH18" i="5"/>
  <c r="AB18" i="5" s="1"/>
  <c r="BI302" i="5"/>
  <c r="AE302" i="5" s="1"/>
  <c r="BI283" i="5"/>
  <c r="AE283" i="5" s="1"/>
  <c r="AW281" i="5"/>
  <c r="BH279" i="5"/>
  <c r="AD279" i="5" s="1"/>
  <c r="AW273" i="5"/>
  <c r="AV273" i="5" s="1"/>
  <c r="BH271" i="5"/>
  <c r="AD271" i="5" s="1"/>
  <c r="J271" i="5"/>
  <c r="AV251" i="5"/>
  <c r="BI247" i="5"/>
  <c r="AE247" i="5" s="1"/>
  <c r="BI242" i="5"/>
  <c r="AE242" i="5" s="1"/>
  <c r="J213" i="5"/>
  <c r="BH193" i="5"/>
  <c r="AD193" i="5" s="1"/>
  <c r="J151" i="5"/>
  <c r="BC145" i="5"/>
  <c r="BI141" i="5"/>
  <c r="AE141" i="5" s="1"/>
  <c r="BI123" i="5"/>
  <c r="AE123" i="5" s="1"/>
  <c r="BH85" i="5"/>
  <c r="AD85" i="5" s="1"/>
  <c r="BI55" i="5"/>
  <c r="BH53" i="5"/>
  <c r="AB53" i="5" s="1"/>
  <c r="BI52" i="5"/>
  <c r="AC52" i="5" s="1"/>
  <c r="BI47" i="5"/>
  <c r="AC47" i="5" s="1"/>
  <c r="AV45" i="5"/>
  <c r="AV29" i="5"/>
  <c r="BH27" i="5"/>
  <c r="AB27" i="5" s="1"/>
  <c r="AL786" i="5"/>
  <c r="AU784" i="5" s="1"/>
  <c r="J785" i="5"/>
  <c r="J784" i="5" s="1"/>
  <c r="J55" i="4" s="1"/>
  <c r="AX785" i="5"/>
  <c r="BC785" i="5" s="1"/>
  <c r="BI785" i="5"/>
  <c r="AG785" i="5" s="1"/>
  <c r="BC783" i="5"/>
  <c r="AV783" i="5"/>
  <c r="J783" i="5"/>
  <c r="AX783" i="5"/>
  <c r="AV780" i="5"/>
  <c r="BC780" i="5"/>
  <c r="BH780" i="5"/>
  <c r="AB780" i="5" s="1"/>
  <c r="J780" i="5"/>
  <c r="BC779" i="5"/>
  <c r="AV779" i="5"/>
  <c r="BI779" i="5"/>
  <c r="AC779" i="5" s="1"/>
  <c r="J779" i="5"/>
  <c r="K779" i="5"/>
  <c r="BC778" i="5"/>
  <c r="BC777" i="5"/>
  <c r="AV777" i="5"/>
  <c r="J777" i="5"/>
  <c r="K777" i="5"/>
  <c r="BC776" i="5"/>
  <c r="AV776" i="5"/>
  <c r="J776" i="5"/>
  <c r="K776" i="5"/>
  <c r="BH776" i="5"/>
  <c r="AB776" i="5" s="1"/>
  <c r="BC775" i="5"/>
  <c r="K775" i="5"/>
  <c r="BI775" i="5"/>
  <c r="AG775" i="5" s="1"/>
  <c r="BH774" i="5"/>
  <c r="AB774" i="5" s="1"/>
  <c r="BC773" i="5"/>
  <c r="AV773" i="5"/>
  <c r="J773" i="5"/>
  <c r="BH773" i="5"/>
  <c r="AB773" i="5" s="1"/>
  <c r="K773" i="5"/>
  <c r="BC772" i="5"/>
  <c r="AV772" i="5"/>
  <c r="J772" i="5"/>
  <c r="K772" i="5"/>
  <c r="AV770" i="5"/>
  <c r="BC770" i="5"/>
  <c r="BI770" i="5"/>
  <c r="AC770" i="5" s="1"/>
  <c r="J770" i="5"/>
  <c r="K770" i="5"/>
  <c r="BC769" i="5"/>
  <c r="AV769" i="5"/>
  <c r="AS764" i="5"/>
  <c r="J769" i="5"/>
  <c r="K769" i="5"/>
  <c r="AV768" i="5"/>
  <c r="BC768" i="5"/>
  <c r="BI768" i="5"/>
  <c r="AG768" i="5" s="1"/>
  <c r="J768" i="5"/>
  <c r="BH768" i="5"/>
  <c r="AF768" i="5" s="1"/>
  <c r="K43" i="3"/>
  <c r="AT764" i="5"/>
  <c r="AW767" i="5"/>
  <c r="K767" i="5"/>
  <c r="BC766" i="5"/>
  <c r="L764" i="5"/>
  <c r="L54" i="4" s="1"/>
  <c r="N54" i="4" s="1"/>
  <c r="AU764" i="5"/>
  <c r="BH765" i="5"/>
  <c r="AF765" i="5" s="1"/>
  <c r="AV765" i="5"/>
  <c r="J43" i="3"/>
  <c r="AV761" i="5"/>
  <c r="BC761" i="5"/>
  <c r="K761" i="5"/>
  <c r="BI761" i="5"/>
  <c r="AC761" i="5" s="1"/>
  <c r="J761" i="5"/>
  <c r="AT748" i="5"/>
  <c r="L748" i="5"/>
  <c r="L52" i="4" s="1"/>
  <c r="N52" i="4" s="1"/>
  <c r="AS748" i="5"/>
  <c r="AV759" i="5"/>
  <c r="BC759" i="5"/>
  <c r="K759" i="5"/>
  <c r="K748" i="5" s="1"/>
  <c r="K52" i="4" s="1"/>
  <c r="BI759" i="5"/>
  <c r="AC759" i="5" s="1"/>
  <c r="AV757" i="5"/>
  <c r="BC757" i="5"/>
  <c r="K41" i="3"/>
  <c r="BC755" i="5"/>
  <c r="AW753" i="5"/>
  <c r="J753" i="5"/>
  <c r="J751" i="5"/>
  <c r="AW751" i="5"/>
  <c r="AU748" i="5"/>
  <c r="AV746" i="5"/>
  <c r="BI744" i="5"/>
  <c r="AE744" i="5" s="1"/>
  <c r="J744" i="5"/>
  <c r="AX744" i="5"/>
  <c r="BC742" i="5"/>
  <c r="AV742" i="5"/>
  <c r="J742" i="5"/>
  <c r="BH742" i="5"/>
  <c r="AD742" i="5" s="1"/>
  <c r="AV740" i="5"/>
  <c r="BI740" i="5"/>
  <c r="AE740" i="5" s="1"/>
  <c r="K740" i="5"/>
  <c r="BC738" i="5"/>
  <c r="AV738" i="5"/>
  <c r="BH738" i="5"/>
  <c r="AD738" i="5" s="1"/>
  <c r="AV736" i="5"/>
  <c r="AX736" i="5"/>
  <c r="BC736" i="5" s="1"/>
  <c r="BI736" i="5"/>
  <c r="AE736" i="5" s="1"/>
  <c r="AX734" i="5"/>
  <c r="BI734" i="5"/>
  <c r="AE734" i="5" s="1"/>
  <c r="AV732" i="5"/>
  <c r="BC732" i="5"/>
  <c r="BH732" i="5"/>
  <c r="AD732" i="5" s="1"/>
  <c r="J732" i="5"/>
  <c r="J730" i="5"/>
  <c r="AX730" i="5"/>
  <c r="BC730" i="5" s="1"/>
  <c r="K730" i="5"/>
  <c r="BC728" i="5"/>
  <c r="AV728" i="5"/>
  <c r="BI728" i="5"/>
  <c r="AE728" i="5" s="1"/>
  <c r="K728" i="5"/>
  <c r="AW726" i="5"/>
  <c r="AW724" i="5"/>
  <c r="AV722" i="5"/>
  <c r="BC722" i="5"/>
  <c r="BH722" i="5"/>
  <c r="AD722" i="5" s="1"/>
  <c r="AW720" i="5"/>
  <c r="BC718" i="5"/>
  <c r="AX718" i="5"/>
  <c r="AV718" i="5" s="1"/>
  <c r="AW716" i="5"/>
  <c r="AX714" i="5"/>
  <c r="AW714" i="5"/>
  <c r="J714" i="5"/>
  <c r="AW712" i="5"/>
  <c r="J712" i="5"/>
  <c r="AW710" i="5"/>
  <c r="BH710" i="5"/>
  <c r="AD710" i="5" s="1"/>
  <c r="AX708" i="5"/>
  <c r="AW708" i="5"/>
  <c r="K708" i="5"/>
  <c r="BC706" i="5"/>
  <c r="K706" i="5"/>
  <c r="AX706" i="5"/>
  <c r="AV706" i="5" s="1"/>
  <c r="BC704" i="5"/>
  <c r="AX704" i="5"/>
  <c r="AV704" i="5" s="1"/>
  <c r="J704" i="5"/>
  <c r="AW702" i="5"/>
  <c r="K702" i="5"/>
  <c r="BI702" i="5"/>
  <c r="AE702" i="5" s="1"/>
  <c r="BC700" i="5"/>
  <c r="J700" i="5"/>
  <c r="BC698" i="5"/>
  <c r="BI696" i="5"/>
  <c r="AE696" i="5" s="1"/>
  <c r="BC696" i="5"/>
  <c r="AV692" i="5"/>
  <c r="BC692" i="5"/>
  <c r="BH692" i="5"/>
  <c r="AD692" i="5" s="1"/>
  <c r="J690" i="5"/>
  <c r="AV690" i="5"/>
  <c r="BI688" i="5"/>
  <c r="AE688" i="5" s="1"/>
  <c r="AX688" i="5"/>
  <c r="BC686" i="5"/>
  <c r="AV686" i="5"/>
  <c r="L643" i="5"/>
  <c r="L51" i="4" s="1"/>
  <c r="N51" i="4" s="1"/>
  <c r="BI686" i="5"/>
  <c r="AE686" i="5" s="1"/>
  <c r="K686" i="5"/>
  <c r="BC684" i="5"/>
  <c r="AV684" i="5"/>
  <c r="BH684" i="5"/>
  <c r="AD684" i="5" s="1"/>
  <c r="J684" i="5"/>
  <c r="BC682" i="5"/>
  <c r="AW680" i="5"/>
  <c r="BH680" i="5"/>
  <c r="AD680" i="5" s="1"/>
  <c r="AX678" i="5"/>
  <c r="AW678" i="5"/>
  <c r="BH678" i="5"/>
  <c r="AD678" i="5" s="1"/>
  <c r="BI678" i="5"/>
  <c r="AE678" i="5" s="1"/>
  <c r="J676" i="5"/>
  <c r="AV676" i="5"/>
  <c r="K674" i="5"/>
  <c r="K672" i="5"/>
  <c r="AW672" i="5"/>
  <c r="J672" i="5"/>
  <c r="BC670" i="5"/>
  <c r="AX670" i="5"/>
  <c r="AV670" i="5" s="1"/>
  <c r="AW668" i="5"/>
  <c r="J668" i="5"/>
  <c r="AV666" i="5"/>
  <c r="AX666" i="5"/>
  <c r="BC666" i="5" s="1"/>
  <c r="BC664" i="5"/>
  <c r="AV664" i="5"/>
  <c r="J664" i="5"/>
  <c r="BH664" i="5"/>
  <c r="AD664" i="5" s="1"/>
  <c r="AX662" i="5"/>
  <c r="AW662" i="5"/>
  <c r="J662" i="5"/>
  <c r="BC660" i="5"/>
  <c r="BH660" i="5"/>
  <c r="AD660" i="5" s="1"/>
  <c r="BC658" i="5"/>
  <c r="AV658" i="5"/>
  <c r="BH658" i="5"/>
  <c r="AD658" i="5" s="1"/>
  <c r="J658" i="5"/>
  <c r="BC656" i="5"/>
  <c r="AV656" i="5"/>
  <c r="BH656" i="5"/>
  <c r="AD656" i="5" s="1"/>
  <c r="J654" i="5"/>
  <c r="AW654" i="5"/>
  <c r="AT643" i="5"/>
  <c r="AX652" i="5"/>
  <c r="AV652" i="5" s="1"/>
  <c r="AX650" i="5"/>
  <c r="AW650" i="5"/>
  <c r="J650" i="5"/>
  <c r="AX648" i="5"/>
  <c r="BC648" i="5" s="1"/>
  <c r="AS643" i="5"/>
  <c r="AV646" i="5"/>
  <c r="AL644" i="5"/>
  <c r="AU643" i="5" s="1"/>
  <c r="AX644" i="5"/>
  <c r="BI644" i="5"/>
  <c r="AE644" i="5" s="1"/>
  <c r="AT616" i="5"/>
  <c r="BI641" i="5"/>
  <c r="AE641" i="5" s="1"/>
  <c r="AX641" i="5"/>
  <c r="BC641" i="5" s="1"/>
  <c r="AV637" i="5"/>
  <c r="BC637" i="5"/>
  <c r="J637" i="5"/>
  <c r="BC635" i="5"/>
  <c r="AV635" i="5"/>
  <c r="J635" i="5"/>
  <c r="BC633" i="5"/>
  <c r="AV631" i="5"/>
  <c r="BC629" i="5"/>
  <c r="AV629" i="5"/>
  <c r="J629" i="5"/>
  <c r="BC627" i="5"/>
  <c r="AV623" i="5"/>
  <c r="BC623" i="5"/>
  <c r="J623" i="5"/>
  <c r="AV621" i="5"/>
  <c r="BC621" i="5"/>
  <c r="AU616" i="5"/>
  <c r="BI621" i="5"/>
  <c r="AE621" i="5" s="1"/>
  <c r="AS616" i="5"/>
  <c r="J621" i="5"/>
  <c r="J619" i="5"/>
  <c r="AW619" i="5"/>
  <c r="K619" i="5"/>
  <c r="BI619" i="5"/>
  <c r="AE619" i="5" s="1"/>
  <c r="L616" i="5"/>
  <c r="L50" i="4" s="1"/>
  <c r="N50" i="4" s="1"/>
  <c r="K617" i="5"/>
  <c r="AX617" i="5"/>
  <c r="AV614" i="5"/>
  <c r="BC614" i="5"/>
  <c r="BH614" i="5"/>
  <c r="AD614" i="5" s="1"/>
  <c r="J614" i="5"/>
  <c r="AV612" i="5"/>
  <c r="AS607" i="5"/>
  <c r="BI612" i="5"/>
  <c r="AE612" i="5" s="1"/>
  <c r="K612" i="5"/>
  <c r="AV610" i="5"/>
  <c r="BC610" i="5"/>
  <c r="L607" i="5"/>
  <c r="L49" i="4" s="1"/>
  <c r="N49" i="4" s="1"/>
  <c r="J610" i="5"/>
  <c r="AU607" i="5"/>
  <c r="BC608" i="5"/>
  <c r="AV608" i="5"/>
  <c r="J608" i="5"/>
  <c r="K608" i="5"/>
  <c r="BC605" i="5"/>
  <c r="AV605" i="5"/>
  <c r="AT596" i="5"/>
  <c r="J605" i="5"/>
  <c r="K605" i="5"/>
  <c r="AS596" i="5"/>
  <c r="BC603" i="5"/>
  <c r="AV603" i="5"/>
  <c r="J603" i="5"/>
  <c r="K603" i="5"/>
  <c r="BC601" i="5"/>
  <c r="AV601" i="5"/>
  <c r="J601" i="5"/>
  <c r="K601" i="5"/>
  <c r="AU596" i="5"/>
  <c r="BC599" i="5"/>
  <c r="AV599" i="5"/>
  <c r="J599" i="5"/>
  <c r="K599" i="5"/>
  <c r="K38" i="3"/>
  <c r="AV597" i="5"/>
  <c r="BC597" i="5"/>
  <c r="J38" i="3"/>
  <c r="L596" i="5"/>
  <c r="L48" i="4" s="1"/>
  <c r="N48" i="4" s="1"/>
  <c r="J597" i="5"/>
  <c r="J37" i="3"/>
  <c r="BC594" i="5"/>
  <c r="AV594" i="5"/>
  <c r="J594" i="5"/>
  <c r="J589" i="5" s="1"/>
  <c r="BH594" i="5"/>
  <c r="AD594" i="5" s="1"/>
  <c r="L589" i="5"/>
  <c r="AL592" i="5"/>
  <c r="AU589" i="5" s="1"/>
  <c r="BI592" i="5"/>
  <c r="AE592" i="5" s="1"/>
  <c r="AT589" i="5"/>
  <c r="AS589" i="5"/>
  <c r="AV590" i="5"/>
  <c r="L37" i="3" s="1"/>
  <c r="N37" i="3" s="1"/>
  <c r="K37" i="3"/>
  <c r="BC590" i="5"/>
  <c r="K590" i="5"/>
  <c r="K589" i="5" s="1"/>
  <c r="AW586" i="5"/>
  <c r="J586" i="5"/>
  <c r="AX582" i="5"/>
  <c r="BC582" i="5" s="1"/>
  <c r="AT573" i="5"/>
  <c r="AS573" i="5"/>
  <c r="AV580" i="5"/>
  <c r="BC580" i="5"/>
  <c r="J580" i="5"/>
  <c r="AW578" i="5"/>
  <c r="K573" i="5"/>
  <c r="K45" i="4" s="1"/>
  <c r="J578" i="5"/>
  <c r="L573" i="5"/>
  <c r="L45" i="4" s="1"/>
  <c r="N45" i="4" s="1"/>
  <c r="BH576" i="5"/>
  <c r="AB576" i="5" s="1"/>
  <c r="BI576" i="5"/>
  <c r="AC576" i="5" s="1"/>
  <c r="AW576" i="5"/>
  <c r="AV574" i="5"/>
  <c r="BH574" i="5"/>
  <c r="AB574" i="5" s="1"/>
  <c r="AL574" i="5"/>
  <c r="AU573" i="5" s="1"/>
  <c r="BC571" i="5"/>
  <c r="BI571" i="5"/>
  <c r="AE571" i="5" s="1"/>
  <c r="AX571" i="5"/>
  <c r="AV571" i="5" s="1"/>
  <c r="AW569" i="5"/>
  <c r="J569" i="5"/>
  <c r="BC567" i="5"/>
  <c r="AV567" i="5"/>
  <c r="J567" i="5"/>
  <c r="BC563" i="5"/>
  <c r="AW561" i="5"/>
  <c r="AX561" i="5"/>
  <c r="K561" i="5"/>
  <c r="BH559" i="5"/>
  <c r="AD559" i="5" s="1"/>
  <c r="BI559" i="5"/>
  <c r="AE559" i="5" s="1"/>
  <c r="AW559" i="5"/>
  <c r="AX559" i="5"/>
  <c r="BC557" i="5"/>
  <c r="K557" i="5"/>
  <c r="BI557" i="5"/>
  <c r="AE557" i="5" s="1"/>
  <c r="AX555" i="5"/>
  <c r="AV555" i="5" s="1"/>
  <c r="K555" i="5"/>
  <c r="AX553" i="5"/>
  <c r="BC553" i="5" s="1"/>
  <c r="K553" i="5"/>
  <c r="BC551" i="5"/>
  <c r="AV551" i="5"/>
  <c r="J551" i="5"/>
  <c r="AV549" i="5"/>
  <c r="BC549" i="5"/>
  <c r="AW547" i="5"/>
  <c r="BH547" i="5"/>
  <c r="AD547" i="5" s="1"/>
  <c r="BC545" i="5"/>
  <c r="J545" i="5"/>
  <c r="AX545" i="5"/>
  <c r="AV545" i="5" s="1"/>
  <c r="AW541" i="5"/>
  <c r="BC539" i="5"/>
  <c r="AV539" i="5"/>
  <c r="K539" i="5"/>
  <c r="BI539" i="5"/>
  <c r="AE539" i="5" s="1"/>
  <c r="AW537" i="5"/>
  <c r="J537" i="5"/>
  <c r="AV535" i="5"/>
  <c r="AX535" i="5"/>
  <c r="BC535" i="5" s="1"/>
  <c r="BH533" i="5"/>
  <c r="AD533" i="5" s="1"/>
  <c r="AV531" i="5"/>
  <c r="BI531" i="5"/>
  <c r="AE531" i="5" s="1"/>
  <c r="AV529" i="5"/>
  <c r="BC529" i="5"/>
  <c r="J529" i="5"/>
  <c r="BH529" i="5"/>
  <c r="AD529" i="5" s="1"/>
  <c r="AW527" i="5"/>
  <c r="J525" i="5"/>
  <c r="AX525" i="5"/>
  <c r="BC525" i="5" s="1"/>
  <c r="K525" i="5"/>
  <c r="J523" i="5"/>
  <c r="AW523" i="5"/>
  <c r="AW521" i="5"/>
  <c r="K521" i="5"/>
  <c r="AW519" i="5"/>
  <c r="J519" i="5"/>
  <c r="AV517" i="5"/>
  <c r="BC517" i="5"/>
  <c r="BH517" i="5"/>
  <c r="AD517" i="5" s="1"/>
  <c r="AV515" i="5"/>
  <c r="BC515" i="5"/>
  <c r="BH515" i="5"/>
  <c r="AD515" i="5" s="1"/>
  <c r="BI513" i="5"/>
  <c r="AE513" i="5" s="1"/>
  <c r="AX513" i="5"/>
  <c r="BI511" i="5"/>
  <c r="AE511" i="5" s="1"/>
  <c r="AX511" i="5"/>
  <c r="J509" i="5"/>
  <c r="AW509" i="5"/>
  <c r="AX507" i="5"/>
  <c r="AV507" i="5" s="1"/>
  <c r="K505" i="5"/>
  <c r="AX505" i="5"/>
  <c r="AV505" i="5" s="1"/>
  <c r="AW503" i="5"/>
  <c r="K503" i="5"/>
  <c r="AX501" i="5"/>
  <c r="BC501" i="5" s="1"/>
  <c r="K501" i="5"/>
  <c r="BH495" i="5"/>
  <c r="AD495" i="5" s="1"/>
  <c r="AW495" i="5"/>
  <c r="AS468" i="5"/>
  <c r="AW493" i="5"/>
  <c r="AW491" i="5"/>
  <c r="J491" i="5"/>
  <c r="L468" i="5"/>
  <c r="L44" i="4" s="1"/>
  <c r="N44" i="4" s="1"/>
  <c r="AW489" i="5"/>
  <c r="J489" i="5"/>
  <c r="AW487" i="5"/>
  <c r="AL487" i="5"/>
  <c r="AU468" i="5" s="1"/>
  <c r="BC485" i="5"/>
  <c r="AV485" i="5"/>
  <c r="BH485" i="5"/>
  <c r="AD485" i="5" s="1"/>
  <c r="J483" i="5"/>
  <c r="AW483" i="5"/>
  <c r="K481" i="5"/>
  <c r="BI481" i="5"/>
  <c r="AE481" i="5" s="1"/>
  <c r="AX479" i="5"/>
  <c r="BI479" i="5"/>
  <c r="AE479" i="5" s="1"/>
  <c r="AW479" i="5"/>
  <c r="J479" i="5"/>
  <c r="BI477" i="5"/>
  <c r="AE477" i="5" s="1"/>
  <c r="AX477" i="5"/>
  <c r="AV477" i="5" s="1"/>
  <c r="AX475" i="5"/>
  <c r="AT468" i="5"/>
  <c r="K475" i="5"/>
  <c r="AV473" i="5"/>
  <c r="BC473" i="5"/>
  <c r="J473" i="5"/>
  <c r="K471" i="5"/>
  <c r="BI471" i="5"/>
  <c r="AE471" i="5" s="1"/>
  <c r="BC469" i="5"/>
  <c r="AV469" i="5"/>
  <c r="BH469" i="5"/>
  <c r="AD469" i="5" s="1"/>
  <c r="BI469" i="5"/>
  <c r="AE469" i="5" s="1"/>
  <c r="AW466" i="5"/>
  <c r="AV464" i="5"/>
  <c r="BC464" i="5"/>
  <c r="J464" i="5"/>
  <c r="K464" i="5"/>
  <c r="BC462" i="5"/>
  <c r="AV462" i="5"/>
  <c r="J462" i="5"/>
  <c r="K462" i="5"/>
  <c r="AV460" i="5"/>
  <c r="BC460" i="5"/>
  <c r="J460" i="5"/>
  <c r="K460" i="5"/>
  <c r="BC458" i="5"/>
  <c r="AV458" i="5"/>
  <c r="BH458" i="5"/>
  <c r="AD458" i="5" s="1"/>
  <c r="J458" i="5"/>
  <c r="BC456" i="5"/>
  <c r="BC454" i="5"/>
  <c r="AV454" i="5"/>
  <c r="K454" i="5"/>
  <c r="BC452" i="5"/>
  <c r="AV450" i="5"/>
  <c r="BC450" i="5"/>
  <c r="AS441" i="5"/>
  <c r="J450" i="5"/>
  <c r="BC448" i="5"/>
  <c r="AV448" i="5"/>
  <c r="J448" i="5"/>
  <c r="BC446" i="5"/>
  <c r="AT441" i="5"/>
  <c r="AV444" i="5"/>
  <c r="BC444" i="5"/>
  <c r="J444" i="5"/>
  <c r="AU441" i="5"/>
  <c r="BC442" i="5"/>
  <c r="K442" i="5"/>
  <c r="AX442" i="5"/>
  <c r="K33" i="3" s="1"/>
  <c r="L441" i="5"/>
  <c r="L43" i="4" s="1"/>
  <c r="N43" i="4" s="1"/>
  <c r="BC439" i="5"/>
  <c r="AV439" i="5"/>
  <c r="J439" i="5"/>
  <c r="J432" i="5"/>
  <c r="J42" i="4" s="1"/>
  <c r="BC437" i="5"/>
  <c r="AV437" i="5"/>
  <c r="K437" i="5"/>
  <c r="BC435" i="5"/>
  <c r="AV435" i="5"/>
  <c r="K435" i="5"/>
  <c r="BI435" i="5"/>
  <c r="AE435" i="5" s="1"/>
  <c r="AU432" i="5"/>
  <c r="AV433" i="5"/>
  <c r="BC433" i="5"/>
  <c r="K433" i="5"/>
  <c r="L432" i="5"/>
  <c r="L42" i="4" s="1"/>
  <c r="N42" i="4" s="1"/>
  <c r="BC430" i="5"/>
  <c r="AV430" i="5"/>
  <c r="J430" i="5"/>
  <c r="K430" i="5"/>
  <c r="J428" i="5"/>
  <c r="AW428" i="5"/>
  <c r="J32" i="3" s="1"/>
  <c r="K428" i="5"/>
  <c r="BC426" i="5"/>
  <c r="AV426" i="5"/>
  <c r="J426" i="5"/>
  <c r="BH426" i="5"/>
  <c r="AD426" i="5" s="1"/>
  <c r="K426" i="5"/>
  <c r="BC424" i="5"/>
  <c r="AV424" i="5"/>
  <c r="K424" i="5"/>
  <c r="K32" i="3"/>
  <c r="AS421" i="5"/>
  <c r="AU421" i="5"/>
  <c r="L421" i="5"/>
  <c r="L41" i="4" s="1"/>
  <c r="N41" i="4" s="1"/>
  <c r="AV419" i="5"/>
  <c r="BC419" i="5"/>
  <c r="AU414" i="5"/>
  <c r="AS414" i="5"/>
  <c r="L414" i="5"/>
  <c r="K31" i="3"/>
  <c r="AV417" i="5"/>
  <c r="BC417" i="5"/>
  <c r="L40" i="4"/>
  <c r="N40" i="4" s="1"/>
  <c r="BH417" i="5"/>
  <c r="AD417" i="5" s="1"/>
  <c r="J414" i="5"/>
  <c r="J40" i="4" s="1"/>
  <c r="K414" i="5"/>
  <c r="J31" i="3"/>
  <c r="K40" i="4"/>
  <c r="AV415" i="5"/>
  <c r="BC415" i="5"/>
  <c r="K411" i="5"/>
  <c r="AW411" i="5"/>
  <c r="AX411" i="5"/>
  <c r="BC409" i="5"/>
  <c r="AV407" i="5"/>
  <c r="K407" i="5"/>
  <c r="AX407" i="5"/>
  <c r="BC407" i="5" s="1"/>
  <c r="K405" i="5"/>
  <c r="AX405" i="5"/>
  <c r="K29" i="3" s="1"/>
  <c r="AL403" i="5"/>
  <c r="AU398" i="5" s="1"/>
  <c r="J398" i="5"/>
  <c r="J38" i="4" s="1"/>
  <c r="AW401" i="5"/>
  <c r="BC396" i="5"/>
  <c r="K396" i="5"/>
  <c r="AX396" i="5"/>
  <c r="AV396" i="5" s="1"/>
  <c r="BC392" i="5"/>
  <c r="AV392" i="5"/>
  <c r="BH392" i="5"/>
  <c r="AD392" i="5" s="1"/>
  <c r="J392" i="5"/>
  <c r="AW390" i="5"/>
  <c r="J390" i="5"/>
  <c r="AX388" i="5"/>
  <c r="AV388" i="5" s="1"/>
  <c r="J388" i="5"/>
  <c r="AX386" i="5"/>
  <c r="K386" i="5"/>
  <c r="BC382" i="5"/>
  <c r="AV382" i="5"/>
  <c r="BC380" i="5"/>
  <c r="K380" i="5"/>
  <c r="BI380" i="5"/>
  <c r="AE380" i="5" s="1"/>
  <c r="AV380" i="5"/>
  <c r="AX378" i="5"/>
  <c r="J378" i="5"/>
  <c r="AW378" i="5"/>
  <c r="K376" i="5"/>
  <c r="AX376" i="5"/>
  <c r="AW376" i="5"/>
  <c r="K374" i="5"/>
  <c r="AV374" i="5"/>
  <c r="K372" i="5"/>
  <c r="AX372" i="5"/>
  <c r="K370" i="5"/>
  <c r="BI370" i="5"/>
  <c r="AE370" i="5" s="1"/>
  <c r="AW370" i="5"/>
  <c r="BH370" i="5"/>
  <c r="AD370" i="5" s="1"/>
  <c r="AX368" i="5"/>
  <c r="J368" i="5"/>
  <c r="AW368" i="5"/>
  <c r="AW366" i="5"/>
  <c r="AX366" i="5"/>
  <c r="J366" i="5"/>
  <c r="AV364" i="5"/>
  <c r="BI364" i="5"/>
  <c r="AE364" i="5" s="1"/>
  <c r="K364" i="5"/>
  <c r="AW362" i="5"/>
  <c r="J362" i="5"/>
  <c r="K360" i="5"/>
  <c r="AX356" i="5"/>
  <c r="BH356" i="5"/>
  <c r="AD356" i="5" s="1"/>
  <c r="AW354" i="5"/>
  <c r="AX354" i="5"/>
  <c r="K354" i="5"/>
  <c r="BC352" i="5"/>
  <c r="AV352" i="5"/>
  <c r="AX352" i="5"/>
  <c r="J352" i="5"/>
  <c r="AV350" i="5"/>
  <c r="BC350" i="5"/>
  <c r="BH350" i="5"/>
  <c r="AD350" i="5" s="1"/>
  <c r="AV348" i="5"/>
  <c r="BC348" i="5"/>
  <c r="BC346" i="5"/>
  <c r="BH346" i="5"/>
  <c r="AD346" i="5" s="1"/>
  <c r="AX346" i="5"/>
  <c r="AV346" i="5" s="1"/>
  <c r="K346" i="5"/>
  <c r="K344" i="5"/>
  <c r="AX344" i="5"/>
  <c r="BC344" i="5" s="1"/>
  <c r="BH342" i="5"/>
  <c r="AD342" i="5" s="1"/>
  <c r="K342" i="5"/>
  <c r="BI342" i="5"/>
  <c r="AE342" i="5" s="1"/>
  <c r="AW342" i="5"/>
  <c r="AV340" i="5"/>
  <c r="AX340" i="5"/>
  <c r="BC340" i="5" s="1"/>
  <c r="K340" i="5"/>
  <c r="BC338" i="5"/>
  <c r="BH336" i="5"/>
  <c r="AD336" i="5" s="1"/>
  <c r="BI334" i="5"/>
  <c r="AE334" i="5" s="1"/>
  <c r="AW334" i="5"/>
  <c r="J334" i="5"/>
  <c r="AX334" i="5"/>
  <c r="K332" i="5"/>
  <c r="AX332" i="5"/>
  <c r="AV332" i="5" s="1"/>
  <c r="K330" i="5"/>
  <c r="AX330" i="5"/>
  <c r="BC328" i="5"/>
  <c r="AS293" i="5"/>
  <c r="BC326" i="5"/>
  <c r="K326" i="5"/>
  <c r="J324" i="5"/>
  <c r="AX324" i="5"/>
  <c r="L293" i="5"/>
  <c r="L37" i="4" s="1"/>
  <c r="N37" i="4" s="1"/>
  <c r="J320" i="5"/>
  <c r="AV320" i="5"/>
  <c r="AW316" i="5"/>
  <c r="J316" i="5"/>
  <c r="K316" i="5"/>
  <c r="AW314" i="5"/>
  <c r="J314" i="5"/>
  <c r="AX314" i="5"/>
  <c r="AV312" i="5"/>
  <c r="BC312" i="5"/>
  <c r="K312" i="5"/>
  <c r="BI312" i="5"/>
  <c r="AE312" i="5" s="1"/>
  <c r="K310" i="5"/>
  <c r="AX310" i="5"/>
  <c r="AV310" i="5" s="1"/>
  <c r="AL308" i="5"/>
  <c r="AU293" i="5" s="1"/>
  <c r="AV306" i="5"/>
  <c r="K306" i="5"/>
  <c r="BC306" i="5"/>
  <c r="BI304" i="5"/>
  <c r="AE304" i="5" s="1"/>
  <c r="AX304" i="5"/>
  <c r="BC304" i="5" s="1"/>
  <c r="AV302" i="5"/>
  <c r="AX302" i="5"/>
  <c r="BC302" i="5" s="1"/>
  <c r="J302" i="5"/>
  <c r="AT293" i="5"/>
  <c r="BC298" i="5"/>
  <c r="AV298" i="5"/>
  <c r="BI298" i="5"/>
  <c r="AE298" i="5" s="1"/>
  <c r="BC296" i="5"/>
  <c r="AV296" i="5"/>
  <c r="J296" i="5"/>
  <c r="AV291" i="5"/>
  <c r="BC291" i="5"/>
  <c r="K291" i="5"/>
  <c r="BI291" i="5"/>
  <c r="AE291" i="5" s="1"/>
  <c r="BC289" i="5"/>
  <c r="AV287" i="5"/>
  <c r="BC287" i="5"/>
  <c r="J287" i="5"/>
  <c r="BC285" i="5"/>
  <c r="AV285" i="5"/>
  <c r="J285" i="5"/>
  <c r="L266" i="5"/>
  <c r="L36" i="4" s="1"/>
  <c r="N36" i="4" s="1"/>
  <c r="AV283" i="5"/>
  <c r="BC283" i="5"/>
  <c r="K283" i="5"/>
  <c r="BC279" i="5"/>
  <c r="AV279" i="5"/>
  <c r="J279" i="5"/>
  <c r="BC277" i="5"/>
  <c r="AV277" i="5"/>
  <c r="BH277" i="5"/>
  <c r="AD277" i="5" s="1"/>
  <c r="J277" i="5"/>
  <c r="K277" i="5"/>
  <c r="BC275" i="5"/>
  <c r="AV275" i="5"/>
  <c r="K275" i="5"/>
  <c r="AT266" i="5"/>
  <c r="AS266" i="5"/>
  <c r="BC271" i="5"/>
  <c r="AV271" i="5"/>
  <c r="K271" i="5"/>
  <c r="BC269" i="5"/>
  <c r="AV269" i="5"/>
  <c r="J269" i="5"/>
  <c r="AU266" i="5"/>
  <c r="BH269" i="5"/>
  <c r="AD269" i="5" s="1"/>
  <c r="K269" i="5"/>
  <c r="K27" i="3"/>
  <c r="BC267" i="5"/>
  <c r="AV267" i="5"/>
  <c r="J27" i="3"/>
  <c r="K267" i="5"/>
  <c r="AV264" i="5"/>
  <c r="BC264" i="5"/>
  <c r="AS257" i="5"/>
  <c r="J264" i="5"/>
  <c r="AU257" i="5"/>
  <c r="K262" i="5"/>
  <c r="K257" i="5" s="1"/>
  <c r="K35" i="4" s="1"/>
  <c r="BC260" i="5"/>
  <c r="AX260" i="5"/>
  <c r="AV260" i="5" s="1"/>
  <c r="BI258" i="5"/>
  <c r="AE258" i="5" s="1"/>
  <c r="J258" i="5"/>
  <c r="J257" i="5" s="1"/>
  <c r="J35" i="4" s="1"/>
  <c r="AX258" i="5"/>
  <c r="BC258" i="5" s="1"/>
  <c r="L257" i="5"/>
  <c r="L35" i="4" s="1"/>
  <c r="N35" i="4" s="1"/>
  <c r="BC255" i="5"/>
  <c r="AV255" i="5"/>
  <c r="BI255" i="5"/>
  <c r="AE255" i="5" s="1"/>
  <c r="J255" i="5"/>
  <c r="K255" i="5"/>
  <c r="BC253" i="5"/>
  <c r="AV253" i="5"/>
  <c r="J253" i="5"/>
  <c r="K253" i="5"/>
  <c r="BC251" i="5"/>
  <c r="K251" i="5"/>
  <c r="AT246" i="5"/>
  <c r="BC249" i="5"/>
  <c r="AS246" i="5"/>
  <c r="AU246" i="5"/>
  <c r="J26" i="3"/>
  <c r="AV247" i="5"/>
  <c r="BC247" i="5"/>
  <c r="K247" i="5"/>
  <c r="L246" i="5"/>
  <c r="L34" i="4" s="1"/>
  <c r="N34" i="4" s="1"/>
  <c r="BI244" i="5"/>
  <c r="AE244" i="5" s="1"/>
  <c r="AX244" i="5"/>
  <c r="K25" i="3" s="1"/>
  <c r="J244" i="5"/>
  <c r="AW244" i="5"/>
  <c r="AX242" i="5"/>
  <c r="AW242" i="5"/>
  <c r="J242" i="5"/>
  <c r="AV240" i="5"/>
  <c r="BC240" i="5"/>
  <c r="BI240" i="5"/>
  <c r="AE240" i="5" s="1"/>
  <c r="K240" i="5"/>
  <c r="K239" i="5" s="1"/>
  <c r="AX236" i="5"/>
  <c r="K23" i="3" s="1"/>
  <c r="J236" i="5"/>
  <c r="AW236" i="5"/>
  <c r="AW234" i="5"/>
  <c r="L223" i="5"/>
  <c r="L31" i="4" s="1"/>
  <c r="N31" i="4" s="1"/>
  <c r="J234" i="5"/>
  <c r="BC232" i="5"/>
  <c r="AV232" i="5"/>
  <c r="K232" i="5"/>
  <c r="K223" i="5" s="1"/>
  <c r="K31" i="4" s="1"/>
  <c r="AX232" i="5"/>
  <c r="AL228" i="5"/>
  <c r="AU223" i="5" s="1"/>
  <c r="AW226" i="5"/>
  <c r="AW224" i="5"/>
  <c r="J224" i="5"/>
  <c r="AV219" i="5"/>
  <c r="BC219" i="5"/>
  <c r="BH219" i="5"/>
  <c r="AD219" i="5" s="1"/>
  <c r="J219" i="5"/>
  <c r="AW217" i="5"/>
  <c r="J217" i="5"/>
  <c r="AV215" i="5"/>
  <c r="BC213" i="5"/>
  <c r="AV213" i="5"/>
  <c r="AW211" i="5"/>
  <c r="J211" i="5"/>
  <c r="BH209" i="5"/>
  <c r="AD209" i="5" s="1"/>
  <c r="J205" i="5"/>
  <c r="AW205" i="5"/>
  <c r="AX203" i="5"/>
  <c r="J203" i="5"/>
  <c r="AW203" i="5"/>
  <c r="AV201" i="5"/>
  <c r="BC201" i="5"/>
  <c r="BI201" i="5"/>
  <c r="AE201" i="5" s="1"/>
  <c r="K201" i="5"/>
  <c r="BI199" i="5"/>
  <c r="AE199" i="5" s="1"/>
  <c r="AX199" i="5"/>
  <c r="AW199" i="5"/>
  <c r="AV197" i="5"/>
  <c r="BC197" i="5"/>
  <c r="BI197" i="5"/>
  <c r="AE197" i="5" s="1"/>
  <c r="AX197" i="5"/>
  <c r="AX195" i="5"/>
  <c r="BC195" i="5" s="1"/>
  <c r="K195" i="5"/>
  <c r="BI193" i="5"/>
  <c r="AE193" i="5" s="1"/>
  <c r="AW193" i="5"/>
  <c r="AX193" i="5"/>
  <c r="AV191" i="5"/>
  <c r="AX191" i="5"/>
  <c r="BC191" i="5" s="1"/>
  <c r="K191" i="5"/>
  <c r="J187" i="5"/>
  <c r="AX187" i="5"/>
  <c r="K187" i="5"/>
  <c r="AX185" i="5"/>
  <c r="AV185" i="5" s="1"/>
  <c r="BC183" i="5"/>
  <c r="AV183" i="5"/>
  <c r="J183" i="5"/>
  <c r="BH183" i="5"/>
  <c r="AD183" i="5" s="1"/>
  <c r="BC181" i="5"/>
  <c r="BC179" i="5"/>
  <c r="AV179" i="5"/>
  <c r="AV177" i="5"/>
  <c r="BC175" i="5"/>
  <c r="AV175" i="5"/>
  <c r="J175" i="5"/>
  <c r="AW173" i="5"/>
  <c r="J173" i="5"/>
  <c r="AW171" i="5"/>
  <c r="K171" i="5"/>
  <c r="J171" i="5"/>
  <c r="J169" i="5"/>
  <c r="AW169" i="5"/>
  <c r="J167" i="5"/>
  <c r="AX167" i="5"/>
  <c r="AW167" i="5"/>
  <c r="K165" i="5"/>
  <c r="AW165" i="5"/>
  <c r="J165" i="5"/>
  <c r="BC163" i="5"/>
  <c r="AV163" i="5"/>
  <c r="BC161" i="5"/>
  <c r="AV159" i="5"/>
  <c r="BC159" i="5"/>
  <c r="BH159" i="5"/>
  <c r="AD159" i="5" s="1"/>
  <c r="AW157" i="5"/>
  <c r="AT118" i="5"/>
  <c r="AV155" i="5"/>
  <c r="BC155" i="5"/>
  <c r="AX155" i="5"/>
  <c r="J155" i="5"/>
  <c r="AX153" i="5"/>
  <c r="AW153" i="5"/>
  <c r="BH153" i="5"/>
  <c r="AD153" i="5" s="1"/>
  <c r="AX149" i="5"/>
  <c r="J149" i="5"/>
  <c r="K149" i="5"/>
  <c r="AV147" i="5"/>
  <c r="AV145" i="5"/>
  <c r="AX143" i="5"/>
  <c r="J143" i="5"/>
  <c r="AW143" i="5"/>
  <c r="AV141" i="5"/>
  <c r="J141" i="5"/>
  <c r="BH139" i="5"/>
  <c r="AD139" i="5" s="1"/>
  <c r="AW139" i="5"/>
  <c r="AV137" i="5"/>
  <c r="J135" i="5"/>
  <c r="BC135" i="5"/>
  <c r="BI133" i="5"/>
  <c r="AE133" i="5" s="1"/>
  <c r="AV133" i="5"/>
  <c r="AS118" i="5"/>
  <c r="AV131" i="5"/>
  <c r="AX125" i="5"/>
  <c r="AW123" i="5"/>
  <c r="L118" i="5"/>
  <c r="L30" i="4" s="1"/>
  <c r="N30" i="4" s="1"/>
  <c r="AX123" i="5"/>
  <c r="J123" i="5"/>
  <c r="AL121" i="5"/>
  <c r="AU118" i="5" s="1"/>
  <c r="BI119" i="5"/>
  <c r="AE119" i="5" s="1"/>
  <c r="AW119" i="5"/>
  <c r="J119" i="5"/>
  <c r="K119" i="5"/>
  <c r="AW116" i="5"/>
  <c r="J21" i="3" s="1"/>
  <c r="J116" i="5"/>
  <c r="AV112" i="5"/>
  <c r="K112" i="5"/>
  <c r="BC110" i="5"/>
  <c r="AV110" i="5"/>
  <c r="J110" i="5"/>
  <c r="BC108" i="5"/>
  <c r="BC106" i="5"/>
  <c r="AV106" i="5"/>
  <c r="J106" i="5"/>
  <c r="BC104" i="5"/>
  <c r="AV104" i="5"/>
  <c r="BH104" i="5"/>
  <c r="AD104" i="5" s="1"/>
  <c r="J104" i="5"/>
  <c r="AS93" i="5"/>
  <c r="K104" i="5"/>
  <c r="AV100" i="5"/>
  <c r="K100" i="5"/>
  <c r="BC98" i="5"/>
  <c r="AV98" i="5"/>
  <c r="J98" i="5"/>
  <c r="AT93" i="5"/>
  <c r="BC96" i="5"/>
  <c r="AV96" i="5"/>
  <c r="J96" i="5"/>
  <c r="AU93" i="5"/>
  <c r="K96" i="5"/>
  <c r="K21" i="3"/>
  <c r="BC94" i="5"/>
  <c r="AV94" i="5"/>
  <c r="J94" i="5"/>
  <c r="AV91" i="5"/>
  <c r="K91" i="5"/>
  <c r="AV87" i="5"/>
  <c r="K87" i="5"/>
  <c r="AS82" i="5"/>
  <c r="BC85" i="5"/>
  <c r="AV85" i="5"/>
  <c r="J85" i="5"/>
  <c r="J82" i="5" s="1"/>
  <c r="J28" i="4" s="1"/>
  <c r="AX85" i="5"/>
  <c r="AL83" i="5"/>
  <c r="AU82" i="5" s="1"/>
  <c r="BC80" i="5"/>
  <c r="AV78" i="5"/>
  <c r="BC78" i="5"/>
  <c r="J78" i="5"/>
  <c r="AV76" i="5"/>
  <c r="BC76" i="5"/>
  <c r="AT71" i="5"/>
  <c r="J76" i="5"/>
  <c r="AS71" i="5"/>
  <c r="K76" i="5"/>
  <c r="K71" i="5" s="1"/>
  <c r="K27" i="4" s="1"/>
  <c r="AV74" i="5"/>
  <c r="BC74" i="5"/>
  <c r="J74" i="5"/>
  <c r="AU71" i="5"/>
  <c r="J20" i="3"/>
  <c r="BC72" i="5"/>
  <c r="AV72" i="5"/>
  <c r="BH72" i="5"/>
  <c r="AD72" i="5" s="1"/>
  <c r="J72" i="5"/>
  <c r="AX72" i="5"/>
  <c r="K20" i="3" s="1"/>
  <c r="L71" i="5"/>
  <c r="L27" i="4" s="1"/>
  <c r="N27" i="4" s="1"/>
  <c r="AT64" i="5"/>
  <c r="AU64" i="5"/>
  <c r="AX69" i="5"/>
  <c r="K19" i="3" s="1"/>
  <c r="BI69" i="5"/>
  <c r="AE69" i="5" s="1"/>
  <c r="BI67" i="5"/>
  <c r="AE67" i="5" s="1"/>
  <c r="AX67" i="5"/>
  <c r="AW67" i="5"/>
  <c r="J64" i="5"/>
  <c r="J26" i="4" s="1"/>
  <c r="K64" i="5"/>
  <c r="K26" i="4" s="1"/>
  <c r="J19" i="3"/>
  <c r="L64" i="5"/>
  <c r="BC62" i="5"/>
  <c r="AV62" i="5"/>
  <c r="J62" i="5"/>
  <c r="AX62" i="5"/>
  <c r="AV61" i="5"/>
  <c r="BC61" i="5"/>
  <c r="J61" i="5"/>
  <c r="AV60" i="5"/>
  <c r="BC60" i="5"/>
  <c r="J60" i="5"/>
  <c r="BC59" i="5"/>
  <c r="K59" i="5"/>
  <c r="K56" i="5" s="1"/>
  <c r="K24" i="4" s="1"/>
  <c r="AX59" i="5"/>
  <c r="AV59" i="5" s="1"/>
  <c r="AS56" i="5"/>
  <c r="AV58" i="5"/>
  <c r="BC58" i="5"/>
  <c r="AU56" i="5"/>
  <c r="AT56" i="5"/>
  <c r="J58" i="5"/>
  <c r="L56" i="5"/>
  <c r="L24" i="4" s="1"/>
  <c r="N24" i="4" s="1"/>
  <c r="BC55" i="5"/>
  <c r="AV55" i="5"/>
  <c r="K55" i="5"/>
  <c r="K54" i="5" s="1"/>
  <c r="K23" i="4" s="1"/>
  <c r="BC53" i="5"/>
  <c r="AV53" i="5"/>
  <c r="J53" i="5"/>
  <c r="K53" i="5"/>
  <c r="BC52" i="5"/>
  <c r="AV51" i="5"/>
  <c r="BC51" i="5"/>
  <c r="K51" i="5"/>
  <c r="AS48" i="5"/>
  <c r="AT48" i="5"/>
  <c r="AU48" i="5"/>
  <c r="AV49" i="5"/>
  <c r="BC49" i="5"/>
  <c r="L48" i="5"/>
  <c r="L22" i="4" s="1"/>
  <c r="N22" i="4" s="1"/>
  <c r="J49" i="5"/>
  <c r="BC47" i="5"/>
  <c r="AV47" i="5"/>
  <c r="J17" i="3"/>
  <c r="J47" i="5"/>
  <c r="J46" i="5" s="1"/>
  <c r="J21" i="4" s="1"/>
  <c r="L46" i="5"/>
  <c r="L21" i="4" s="1"/>
  <c r="N21" i="4" s="1"/>
  <c r="BC45" i="5"/>
  <c r="K45" i="5"/>
  <c r="K43" i="5" s="1"/>
  <c r="K20" i="4" s="1"/>
  <c r="J43" i="5"/>
  <c r="J20" i="4" s="1"/>
  <c r="L43" i="5"/>
  <c r="L20" i="4" s="1"/>
  <c r="N20" i="4" s="1"/>
  <c r="AU43" i="5"/>
  <c r="BC42" i="5"/>
  <c r="L41" i="5"/>
  <c r="L19" i="4" s="1"/>
  <c r="N19" i="4" s="1"/>
  <c r="BC40" i="5"/>
  <c r="AV40" i="5"/>
  <c r="J40" i="5"/>
  <c r="J39" i="5" s="1"/>
  <c r="J18" i="4" s="1"/>
  <c r="K40" i="5"/>
  <c r="K39" i="5" s="1"/>
  <c r="K18" i="4" s="1"/>
  <c r="L39" i="5"/>
  <c r="L18" i="4" s="1"/>
  <c r="N18" i="4" s="1"/>
  <c r="K15" i="3"/>
  <c r="J15" i="3"/>
  <c r="AV37" i="5"/>
  <c r="BC37" i="5"/>
  <c r="L36" i="5"/>
  <c r="L17" i="4" s="1"/>
  <c r="N17" i="4" s="1"/>
  <c r="J37" i="5"/>
  <c r="J36" i="5" s="1"/>
  <c r="J17" i="4" s="1"/>
  <c r="BC35" i="5"/>
  <c r="K35" i="5"/>
  <c r="BC34" i="5"/>
  <c r="AV33" i="5"/>
  <c r="BC33" i="5"/>
  <c r="AS26" i="5"/>
  <c r="J33" i="5"/>
  <c r="K33" i="5"/>
  <c r="BC31" i="5"/>
  <c r="AV31" i="5"/>
  <c r="J31" i="5"/>
  <c r="K31" i="5"/>
  <c r="AU26" i="5"/>
  <c r="BC30" i="5"/>
  <c r="L26" i="5"/>
  <c r="L16" i="4" s="1"/>
  <c r="N16" i="4" s="1"/>
  <c r="BC29" i="5"/>
  <c r="K29" i="5"/>
  <c r="K14" i="3"/>
  <c r="AT26" i="5"/>
  <c r="BC27" i="5"/>
  <c r="AV27" i="5"/>
  <c r="J14" i="3"/>
  <c r="J27" i="5"/>
  <c r="K27" i="5"/>
  <c r="BC24" i="5"/>
  <c r="AV24" i="5"/>
  <c r="K24" i="5"/>
  <c r="K23" i="5" s="1"/>
  <c r="K15" i="4" s="1"/>
  <c r="BC21" i="5"/>
  <c r="BC20" i="5"/>
  <c r="C19" i="1"/>
  <c r="AV20" i="5"/>
  <c r="AS17" i="5"/>
  <c r="K17" i="5"/>
  <c r="K14" i="4" s="1"/>
  <c r="C20" i="1"/>
  <c r="L17" i="5"/>
  <c r="L14" i="4" s="1"/>
  <c r="N14" i="4" s="1"/>
  <c r="K13" i="3"/>
  <c r="BC19" i="5"/>
  <c r="AT17" i="5"/>
  <c r="AU17" i="5"/>
  <c r="J13" i="3"/>
  <c r="AV18" i="5"/>
  <c r="BC18" i="5"/>
  <c r="C27" i="1"/>
  <c r="J18" i="5"/>
  <c r="J17" i="5" s="1"/>
  <c r="J14" i="4" s="1"/>
  <c r="C28" i="1"/>
  <c r="F28" i="1" s="1"/>
  <c r="BC16" i="5"/>
  <c r="AV16" i="5"/>
  <c r="AT13" i="5"/>
  <c r="K16" i="5"/>
  <c r="C15" i="1"/>
  <c r="C21" i="1"/>
  <c r="C18" i="1"/>
  <c r="AV15" i="5"/>
  <c r="BC15" i="5"/>
  <c r="J15" i="5"/>
  <c r="AS13" i="5"/>
  <c r="K15" i="5"/>
  <c r="K16" i="3"/>
  <c r="AU13" i="5"/>
  <c r="BC14" i="5"/>
  <c r="J16" i="3"/>
  <c r="AV14" i="5"/>
  <c r="J14" i="5"/>
  <c r="K14" i="5"/>
  <c r="L13" i="5"/>
  <c r="AV785" i="5" l="1"/>
  <c r="BC89" i="5"/>
  <c r="BC262" i="5"/>
  <c r="K13" i="5"/>
  <c r="AV442" i="5"/>
  <c r="BC652" i="5"/>
  <c r="AV730" i="5"/>
  <c r="AV189" i="5"/>
  <c r="BC189" i="5"/>
  <c r="AV129" i="5"/>
  <c r="BC384" i="5"/>
  <c r="AV471" i="5"/>
  <c r="K82" i="5"/>
  <c r="K28" i="4" s="1"/>
  <c r="AV304" i="5"/>
  <c r="BC388" i="5"/>
  <c r="J26" i="5"/>
  <c r="J16" i="4" s="1"/>
  <c r="K17" i="3"/>
  <c r="J246" i="5"/>
  <c r="J34" i="4" s="1"/>
  <c r="AV258" i="5"/>
  <c r="L26" i="3" s="1"/>
  <c r="N26" i="3" s="1"/>
  <c r="BC310" i="5"/>
  <c r="BC332" i="5"/>
  <c r="AV344" i="5"/>
  <c r="BC505" i="5"/>
  <c r="AV553" i="5"/>
  <c r="AV582" i="5"/>
  <c r="J239" i="5"/>
  <c r="BC477" i="5"/>
  <c r="AV525" i="5"/>
  <c r="BC584" i="5"/>
  <c r="AV584" i="5"/>
  <c r="AV127" i="5"/>
  <c r="BC694" i="5"/>
  <c r="AV694" i="5"/>
  <c r="AV195" i="5"/>
  <c r="K35" i="3"/>
  <c r="AV648" i="5"/>
  <c r="BC625" i="5"/>
  <c r="AV625" i="5"/>
  <c r="BC749" i="5"/>
  <c r="AV749" i="5"/>
  <c r="AV501" i="5"/>
  <c r="BC507" i="5"/>
  <c r="BC555" i="5"/>
  <c r="AV641" i="5"/>
  <c r="BC44" i="5"/>
  <c r="AV44" i="5"/>
  <c r="BC639" i="5"/>
  <c r="AV639" i="5"/>
  <c r="AV318" i="5"/>
  <c r="BC273" i="5"/>
  <c r="AV281" i="5"/>
  <c r="BC281" i="5"/>
  <c r="BC399" i="5"/>
  <c r="AV399" i="5"/>
  <c r="BC185" i="5"/>
  <c r="AV565" i="5"/>
  <c r="BC565" i="5"/>
  <c r="BC786" i="5"/>
  <c r="C14" i="1"/>
  <c r="J764" i="5"/>
  <c r="J763" i="5" s="1"/>
  <c r="J17" i="2" s="1"/>
  <c r="K764" i="5"/>
  <c r="K54" i="4" s="1"/>
  <c r="BC767" i="5"/>
  <c r="AV767" i="5"/>
  <c r="L43" i="3"/>
  <c r="N43" i="3" s="1"/>
  <c r="L763" i="5"/>
  <c r="L42" i="3" s="1"/>
  <c r="P42" i="3" s="1"/>
  <c r="J748" i="5"/>
  <c r="J52" i="4" s="1"/>
  <c r="AV753" i="5"/>
  <c r="BC753" i="5"/>
  <c r="J41" i="3"/>
  <c r="BC751" i="5"/>
  <c r="AV751" i="5"/>
  <c r="BC744" i="5"/>
  <c r="AV744" i="5"/>
  <c r="BC734" i="5"/>
  <c r="AV734" i="5"/>
  <c r="BC726" i="5"/>
  <c r="AV726" i="5"/>
  <c r="BC724" i="5"/>
  <c r="AV724" i="5"/>
  <c r="AV720" i="5"/>
  <c r="BC720" i="5"/>
  <c r="BC716" i="5"/>
  <c r="AV716" i="5"/>
  <c r="AV714" i="5"/>
  <c r="BC714" i="5"/>
  <c r="AV712" i="5"/>
  <c r="BC712" i="5"/>
  <c r="AV710" i="5"/>
  <c r="BC710" i="5"/>
  <c r="AV708" i="5"/>
  <c r="BC708" i="5"/>
  <c r="AV702" i="5"/>
  <c r="BC702" i="5"/>
  <c r="BC688" i="5"/>
  <c r="AV688" i="5"/>
  <c r="AV680" i="5"/>
  <c r="BC680" i="5"/>
  <c r="AV678" i="5"/>
  <c r="BC678" i="5"/>
  <c r="K643" i="5"/>
  <c r="K51" i="4" s="1"/>
  <c r="AV672" i="5"/>
  <c r="BC672" i="5"/>
  <c r="BC668" i="5"/>
  <c r="AV668" i="5"/>
  <c r="AV662" i="5"/>
  <c r="BC662" i="5"/>
  <c r="BC654" i="5"/>
  <c r="AV654" i="5"/>
  <c r="J643" i="5"/>
  <c r="J51" i="4" s="1"/>
  <c r="AV650" i="5"/>
  <c r="BC650" i="5"/>
  <c r="J40" i="3"/>
  <c r="K40" i="3"/>
  <c r="BC644" i="5"/>
  <c r="AV644" i="5"/>
  <c r="L588" i="5"/>
  <c r="L16" i="2" s="1"/>
  <c r="P16" i="2" s="1"/>
  <c r="J616" i="5"/>
  <c r="J50" i="4" s="1"/>
  <c r="BC619" i="5"/>
  <c r="AV619" i="5"/>
  <c r="J39" i="3"/>
  <c r="K616" i="5"/>
  <c r="K50" i="4" s="1"/>
  <c r="K39" i="3"/>
  <c r="AV617" i="5"/>
  <c r="BC617" i="5"/>
  <c r="K607" i="5"/>
  <c r="K49" i="4" s="1"/>
  <c r="J607" i="5"/>
  <c r="J49" i="4" s="1"/>
  <c r="K596" i="5"/>
  <c r="K48" i="4" s="1"/>
  <c r="J596" i="5"/>
  <c r="J48" i="4" s="1"/>
  <c r="L38" i="3"/>
  <c r="N38" i="3" s="1"/>
  <c r="J47" i="4"/>
  <c r="L47" i="4"/>
  <c r="N47" i="4" s="1"/>
  <c r="L46" i="4"/>
  <c r="P46" i="4" s="1"/>
  <c r="K47" i="4"/>
  <c r="AV586" i="5"/>
  <c r="BC586" i="5"/>
  <c r="J573" i="5"/>
  <c r="J45" i="4" s="1"/>
  <c r="BC578" i="5"/>
  <c r="AV578" i="5"/>
  <c r="J35" i="3"/>
  <c r="BC576" i="5"/>
  <c r="AV576" i="5"/>
  <c r="BC569" i="5"/>
  <c r="AV569" i="5"/>
  <c r="AV561" i="5"/>
  <c r="BC561" i="5"/>
  <c r="BC559" i="5"/>
  <c r="AV559" i="5"/>
  <c r="BC547" i="5"/>
  <c r="AV547" i="5"/>
  <c r="BC541" i="5"/>
  <c r="AV541" i="5"/>
  <c r="AV537" i="5"/>
  <c r="BC537" i="5"/>
  <c r="AV527" i="5"/>
  <c r="BC527" i="5"/>
  <c r="BC523" i="5"/>
  <c r="AV523" i="5"/>
  <c r="BC521" i="5"/>
  <c r="AV521" i="5"/>
  <c r="AV519" i="5"/>
  <c r="BC519" i="5"/>
  <c r="AV513" i="5"/>
  <c r="BC513" i="5"/>
  <c r="AV511" i="5"/>
  <c r="BC511" i="5"/>
  <c r="BC509" i="5"/>
  <c r="AV509" i="5"/>
  <c r="AV503" i="5"/>
  <c r="BC503" i="5"/>
  <c r="K34" i="3"/>
  <c r="BC495" i="5"/>
  <c r="AV495" i="5"/>
  <c r="AV493" i="5"/>
  <c r="BC493" i="5"/>
  <c r="BC491" i="5"/>
  <c r="AV491" i="5"/>
  <c r="BC489" i="5"/>
  <c r="AV489" i="5"/>
  <c r="BC487" i="5"/>
  <c r="AV487" i="5"/>
  <c r="BC483" i="5"/>
  <c r="AV483" i="5"/>
  <c r="J34" i="3"/>
  <c r="K468" i="5"/>
  <c r="K44" i="4" s="1"/>
  <c r="BC479" i="5"/>
  <c r="AV479" i="5"/>
  <c r="J468" i="5"/>
  <c r="J44" i="4" s="1"/>
  <c r="AV475" i="5"/>
  <c r="BC475" i="5"/>
  <c r="BC466" i="5"/>
  <c r="AV466" i="5"/>
  <c r="L33" i="3" s="1"/>
  <c r="N33" i="3" s="1"/>
  <c r="J33" i="3"/>
  <c r="K441" i="5"/>
  <c r="K43" i="4" s="1"/>
  <c r="J441" i="5"/>
  <c r="J43" i="4" s="1"/>
  <c r="K432" i="5"/>
  <c r="K42" i="4" s="1"/>
  <c r="J421" i="5"/>
  <c r="J41" i="4" s="1"/>
  <c r="BC428" i="5"/>
  <c r="AV428" i="5"/>
  <c r="L32" i="3" s="1"/>
  <c r="N32" i="3" s="1"/>
  <c r="K421" i="5"/>
  <c r="L413" i="5"/>
  <c r="L30" i="3" s="1"/>
  <c r="P30" i="3" s="1"/>
  <c r="L31" i="3"/>
  <c r="N31" i="3" s="1"/>
  <c r="AV411" i="5"/>
  <c r="BC411" i="5"/>
  <c r="K398" i="5"/>
  <c r="K38" i="4" s="1"/>
  <c r="AV405" i="5"/>
  <c r="BC405" i="5"/>
  <c r="BC401" i="5"/>
  <c r="J29" i="3"/>
  <c r="AV401" i="5"/>
  <c r="AV390" i="5"/>
  <c r="BC390" i="5"/>
  <c r="BC386" i="5"/>
  <c r="AV386" i="5"/>
  <c r="BC378" i="5"/>
  <c r="AV378" i="5"/>
  <c r="BC376" i="5"/>
  <c r="AV376" i="5"/>
  <c r="BC372" i="5"/>
  <c r="AV372" i="5"/>
  <c r="BC370" i="5"/>
  <c r="AV370" i="5"/>
  <c r="BC368" i="5"/>
  <c r="AV368" i="5"/>
  <c r="AV366" i="5"/>
  <c r="BC366" i="5"/>
  <c r="BC362" i="5"/>
  <c r="AV362" i="5"/>
  <c r="BC356" i="5"/>
  <c r="AV356" i="5"/>
  <c r="AV354" i="5"/>
  <c r="BC354" i="5"/>
  <c r="BC342" i="5"/>
  <c r="AV342" i="5"/>
  <c r="BC334" i="5"/>
  <c r="AV334" i="5"/>
  <c r="BC330" i="5"/>
  <c r="AV330" i="5"/>
  <c r="K28" i="3"/>
  <c r="AV324" i="5"/>
  <c r="BC324" i="5"/>
  <c r="BC316" i="5"/>
  <c r="AV316" i="5"/>
  <c r="J293" i="5"/>
  <c r="J37" i="4" s="1"/>
  <c r="AV314" i="5"/>
  <c r="BC314" i="5"/>
  <c r="J28" i="3"/>
  <c r="K293" i="5"/>
  <c r="K37" i="4" s="1"/>
  <c r="L27" i="3"/>
  <c r="N27" i="3" s="1"/>
  <c r="K266" i="5"/>
  <c r="K36" i="4" s="1"/>
  <c r="J266" i="5"/>
  <c r="J36" i="4" s="1"/>
  <c r="K26" i="3"/>
  <c r="L238" i="5"/>
  <c r="L32" i="4" s="1"/>
  <c r="P32" i="4" s="1"/>
  <c r="K246" i="5"/>
  <c r="K34" i="4" s="1"/>
  <c r="AV244" i="5"/>
  <c r="BC244" i="5"/>
  <c r="BC242" i="5"/>
  <c r="J25" i="3"/>
  <c r="AV242" i="5"/>
  <c r="L25" i="3" s="1"/>
  <c r="N25" i="3" s="1"/>
  <c r="J33" i="4"/>
  <c r="K33" i="4"/>
  <c r="AV236" i="5"/>
  <c r="BC236" i="5"/>
  <c r="J223" i="5"/>
  <c r="J31" i="4" s="1"/>
  <c r="BC234" i="5"/>
  <c r="AV234" i="5"/>
  <c r="BC226" i="5"/>
  <c r="AV226" i="5"/>
  <c r="J23" i="3"/>
  <c r="AV224" i="5"/>
  <c r="BC224" i="5"/>
  <c r="AV217" i="5"/>
  <c r="BC217" i="5"/>
  <c r="BC211" i="5"/>
  <c r="AV211" i="5"/>
  <c r="AV205" i="5"/>
  <c r="BC205" i="5"/>
  <c r="BC203" i="5"/>
  <c r="AV203" i="5"/>
  <c r="AV199" i="5"/>
  <c r="BC199" i="5"/>
  <c r="AV193" i="5"/>
  <c r="BC193" i="5"/>
  <c r="AV187" i="5"/>
  <c r="BC187" i="5"/>
  <c r="AV173" i="5"/>
  <c r="BC173" i="5"/>
  <c r="BC171" i="5"/>
  <c r="AV171" i="5"/>
  <c r="AV169" i="5"/>
  <c r="BC169" i="5"/>
  <c r="BC167" i="5"/>
  <c r="AV167" i="5"/>
  <c r="K118" i="5"/>
  <c r="K30" i="4" s="1"/>
  <c r="BC165" i="5"/>
  <c r="AV165" i="5"/>
  <c r="AV157" i="5"/>
  <c r="BC157" i="5"/>
  <c r="AV153" i="5"/>
  <c r="BC153" i="5"/>
  <c r="C16" i="1"/>
  <c r="AV149" i="5"/>
  <c r="BC149" i="5"/>
  <c r="AV143" i="5"/>
  <c r="BC143" i="5"/>
  <c r="BC139" i="5"/>
  <c r="AV139" i="5"/>
  <c r="J118" i="5"/>
  <c r="J30" i="4" s="1"/>
  <c r="C17" i="1"/>
  <c r="BC125" i="5"/>
  <c r="AV125" i="5"/>
  <c r="K22" i="3"/>
  <c r="AV123" i="5"/>
  <c r="BC123" i="5"/>
  <c r="J22" i="3"/>
  <c r="BC119" i="5"/>
  <c r="AV119" i="5"/>
  <c r="AV116" i="5"/>
  <c r="L21" i="3" s="1"/>
  <c r="N21" i="3" s="1"/>
  <c r="BC116" i="5"/>
  <c r="K93" i="5"/>
  <c r="K29" i="4" s="1"/>
  <c r="J93" i="5"/>
  <c r="J29" i="4" s="1"/>
  <c r="C29" i="1"/>
  <c r="F29" i="1" s="1"/>
  <c r="J71" i="5"/>
  <c r="J27" i="4" s="1"/>
  <c r="L20" i="3"/>
  <c r="N20" i="3" s="1"/>
  <c r="BC69" i="5"/>
  <c r="AV69" i="5"/>
  <c r="AV67" i="5"/>
  <c r="BC67" i="5"/>
  <c r="L63" i="5"/>
  <c r="L26" i="4"/>
  <c r="N26" i="4" s="1"/>
  <c r="J56" i="5"/>
  <c r="J24" i="4" s="1"/>
  <c r="J48" i="5"/>
  <c r="J22" i="4" s="1"/>
  <c r="K48" i="5"/>
  <c r="K22" i="4" s="1"/>
  <c r="L17" i="3"/>
  <c r="N17" i="3" s="1"/>
  <c r="L15" i="3"/>
  <c r="N15" i="3" s="1"/>
  <c r="L14" i="3"/>
  <c r="N14" i="3" s="1"/>
  <c r="K26" i="5"/>
  <c r="K16" i="4" s="1"/>
  <c r="L13" i="3"/>
  <c r="N13" i="3" s="1"/>
  <c r="L16" i="3"/>
  <c r="N16" i="3" s="1"/>
  <c r="J13" i="5"/>
  <c r="J13" i="4" s="1"/>
  <c r="L787" i="5"/>
  <c r="L12" i="5"/>
  <c r="L13" i="4"/>
  <c r="N13" i="4" s="1"/>
  <c r="K13" i="4"/>
  <c r="L23" i="3" l="1"/>
  <c r="N23" i="3" s="1"/>
  <c r="J53" i="4"/>
  <c r="J42" i="3"/>
  <c r="J54" i="4"/>
  <c r="K763" i="5"/>
  <c r="K53" i="4" s="1"/>
  <c r="L53" i="4"/>
  <c r="P53" i="4" s="1"/>
  <c r="L17" i="2"/>
  <c r="P17" i="2" s="1"/>
  <c r="L41" i="3"/>
  <c r="N41" i="3" s="1"/>
  <c r="L40" i="3"/>
  <c r="N40" i="3" s="1"/>
  <c r="L36" i="3"/>
  <c r="P36" i="3" s="1"/>
  <c r="L39" i="3"/>
  <c r="N39" i="3" s="1"/>
  <c r="K588" i="5"/>
  <c r="K36" i="3" s="1"/>
  <c r="J588" i="5"/>
  <c r="L35" i="3"/>
  <c r="N35" i="3" s="1"/>
  <c r="L34" i="3"/>
  <c r="N34" i="3" s="1"/>
  <c r="K413" i="5"/>
  <c r="K15" i="2" s="1"/>
  <c r="J413" i="5"/>
  <c r="J15" i="2" s="1"/>
  <c r="K41" i="4"/>
  <c r="L15" i="2"/>
  <c r="P15" i="2" s="1"/>
  <c r="L39" i="4"/>
  <c r="P39" i="4" s="1"/>
  <c r="L29" i="3"/>
  <c r="N29" i="3" s="1"/>
  <c r="L28" i="3"/>
  <c r="N28" i="3" s="1"/>
  <c r="J238" i="5"/>
  <c r="J14" i="2" s="1"/>
  <c r="L14" i="2"/>
  <c r="P14" i="2" s="1"/>
  <c r="L24" i="3"/>
  <c r="P24" i="3" s="1"/>
  <c r="K238" i="5"/>
  <c r="K32" i="4" s="1"/>
  <c r="C22" i="1"/>
  <c r="L22" i="3"/>
  <c r="N22" i="3" s="1"/>
  <c r="K63" i="5"/>
  <c r="K18" i="3" s="1"/>
  <c r="I28" i="1"/>
  <c r="I29" i="1" s="1"/>
  <c r="J63" i="5"/>
  <c r="J18" i="3" s="1"/>
  <c r="L19" i="3"/>
  <c r="N19" i="3" s="1"/>
  <c r="L18" i="3"/>
  <c r="P18" i="3" s="1"/>
  <c r="L13" i="2"/>
  <c r="P13" i="2" s="1"/>
  <c r="L25" i="4"/>
  <c r="P25" i="4" s="1"/>
  <c r="L56" i="4"/>
  <c r="K12" i="5"/>
  <c r="K12" i="2" s="1"/>
  <c r="J12" i="5"/>
  <c r="J12" i="2" s="1"/>
  <c r="L12" i="4"/>
  <c r="P12" i="4" s="1"/>
  <c r="L12" i="2"/>
  <c r="P12" i="2" s="1"/>
  <c r="L12" i="3"/>
  <c r="P12" i="3" s="1"/>
  <c r="K17" i="2" l="1"/>
  <c r="K42" i="3"/>
  <c r="K46" i="4"/>
  <c r="K16" i="2"/>
  <c r="J46" i="4"/>
  <c r="J36" i="3"/>
  <c r="J16" i="2"/>
  <c r="K30" i="3"/>
  <c r="K39" i="4"/>
  <c r="J39" i="4"/>
  <c r="J30" i="3"/>
  <c r="J32" i="4"/>
  <c r="J24" i="3"/>
  <c r="K14" i="2"/>
  <c r="K24" i="3"/>
  <c r="L44" i="3"/>
  <c r="K13" i="2"/>
  <c r="K25" i="4"/>
  <c r="J25" i="4"/>
  <c r="J13" i="2"/>
  <c r="L18" i="2"/>
  <c r="K12" i="4"/>
  <c r="K12" i="3"/>
  <c r="J12" i="3"/>
  <c r="J12" i="4"/>
</calcChain>
</file>

<file path=xl/sharedStrings.xml><?xml version="1.0" encoding="utf-8"?>
<sst xmlns="http://schemas.openxmlformats.org/spreadsheetml/2006/main" count="7972" uniqueCount="1140">
  <si>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</si>
  <si>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</si>
  <si>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</si>
  <si>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</si>
  <si>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</si>
  <si>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</si>
  <si>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</si>
  <si>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</si>
  <si>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</si>
  <si>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</si>
  <si>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</si>
  <si>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</si>
  <si>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</si>
  <si>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</si>
  <si>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</si>
  <si>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</si>
  <si>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</si>
  <si>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</si>
  <si>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</si>
  <si>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</si>
  <si>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</si>
  <si>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</si>
  <si>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</si>
  <si>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</si>
  <si>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</si>
  <si>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</si>
  <si>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</si>
  <si>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</si>
  <si>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</si>
  <si>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</si>
  <si>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</si>
  <si>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</si>
  <si>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</si>
  <si>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</si>
  <si>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</si>
  <si>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</si>
  <si>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</si>
  <si>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</si>
  <si>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</si>
  <si>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</si>
  <si>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</si>
  <si>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</si>
  <si>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</si>
  <si>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</si>
  <si>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</si>
  <si>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</si>
  <si>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</si>
  <si>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</si>
  <si>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</si>
  <si>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</si>
  <si>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</si>
  <si>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</si>
  <si>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</si>
  <si>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</si>
  <si>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</si>
  <si>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</si>
  <si>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00297437/CZ00297437</t>
  </si>
  <si>
    <t>25843931/CZ25843931</t>
  </si>
  <si>
    <t>390</t>
  </si>
  <si>
    <t>Slepý stavební rozpočet - Jen objekty celkem</t>
  </si>
  <si>
    <t xml:space="preserve"> </t>
  </si>
  <si>
    <t>Objekt</t>
  </si>
  <si>
    <t>1140</t>
  </si>
  <si>
    <t>1421</t>
  </si>
  <si>
    <t>1422</t>
  </si>
  <si>
    <t>1423</t>
  </si>
  <si>
    <t>1424</t>
  </si>
  <si>
    <t>1441</t>
  </si>
  <si>
    <t>Zkrácený popis</t>
  </si>
  <si>
    <t>stavební práce pro VZT</t>
  </si>
  <si>
    <t>VZT zařízení č.1-vnitřní rekuperační jednotka</t>
  </si>
  <si>
    <t>VZT zařízení č.2-vnitřní rekuperační jednotka</t>
  </si>
  <si>
    <t>VZT zařízení č.3-vnitřní rekuperační jednotka</t>
  </si>
  <si>
    <t>VZT zařízení č.4-vnitřní rekuperační jednotka</t>
  </si>
  <si>
    <t>D.1.4.4 - Silnoproud - VZT</t>
  </si>
  <si>
    <t>Doba výstavby:</t>
  </si>
  <si>
    <t>Zpracováno dne:</t>
  </si>
  <si>
    <t>Náklady (Kč)</t>
  </si>
  <si>
    <t>Dodávka</t>
  </si>
  <si>
    <t>Celkem:</t>
  </si>
  <si>
    <t>Celkem</t>
  </si>
  <si>
    <t>F</t>
  </si>
  <si>
    <t>Slepý stavební rozpočet - Jen skupiny</t>
  </si>
  <si>
    <t>Kód</t>
  </si>
  <si>
    <t>3</t>
  </si>
  <si>
    <t>4</t>
  </si>
  <si>
    <t>6</t>
  </si>
  <si>
    <t>71</t>
  </si>
  <si>
    <t>9</t>
  </si>
  <si>
    <t>72</t>
  </si>
  <si>
    <t>74</t>
  </si>
  <si>
    <t>75</t>
  </si>
  <si>
    <t>Svislé a kompletní konstrukce</t>
  </si>
  <si>
    <t>Vodorovné konstrukce</t>
  </si>
  <si>
    <t>Úpravy povrchů a osazování výplní otvorů</t>
  </si>
  <si>
    <t>Izolace</t>
  </si>
  <si>
    <t>Dokončovací práce, demolice</t>
  </si>
  <si>
    <t>Zdravotně technické instalace</t>
  </si>
  <si>
    <t>Elektromontážní práce (silnoproud)</t>
  </si>
  <si>
    <t>Elektromontážní práce (slaboproud)</t>
  </si>
  <si>
    <t>T</t>
  </si>
  <si>
    <t>Slepý stavební rozpočet - Jen podskupiny</t>
  </si>
  <si>
    <t>713</t>
  </si>
  <si>
    <t>31</t>
  </si>
  <si>
    <t>34</t>
  </si>
  <si>
    <t>41</t>
  </si>
  <si>
    <t>60</t>
  </si>
  <si>
    <t>61</t>
  </si>
  <si>
    <t>64</t>
  </si>
  <si>
    <t>712</t>
  </si>
  <si>
    <t>96</t>
  </si>
  <si>
    <t>97</t>
  </si>
  <si>
    <t>H99</t>
  </si>
  <si>
    <t>S</t>
  </si>
  <si>
    <t>724</t>
  </si>
  <si>
    <t>725</t>
  </si>
  <si>
    <t>741</t>
  </si>
  <si>
    <t>751</t>
  </si>
  <si>
    <t>OST</t>
  </si>
  <si>
    <t>M21</t>
  </si>
  <si>
    <t>M46</t>
  </si>
  <si>
    <t>Izolace tepelné</t>
  </si>
  <si>
    <t>Zdi podpěrné a volné</t>
  </si>
  <si>
    <t>Stěny a příčky</t>
  </si>
  <si>
    <t>Stropy a stropní konstrukce (pro pozemní stavby)</t>
  </si>
  <si>
    <t>Omítky ze suchých směsí</t>
  </si>
  <si>
    <t>Úprava povrchů vnitřní</t>
  </si>
  <si>
    <t>Výplně otvorů</t>
  </si>
  <si>
    <t>Izolace střech (živičné krytiny)</t>
  </si>
  <si>
    <t>Bourání konstrukcí</t>
  </si>
  <si>
    <t>Prorážení otvorů a ostatní bourací práce</t>
  </si>
  <si>
    <t>Ostatní přesuny hmot</t>
  </si>
  <si>
    <t>Přesuny sutí</t>
  </si>
  <si>
    <t>Zdravotechnika - strojní vybavení</t>
  </si>
  <si>
    <t>Zdravotechnika - zařizovací předměty</t>
  </si>
  <si>
    <t>Elektroinstalace - silnoproud</t>
  </si>
  <si>
    <t>Vzduchotechnika</t>
  </si>
  <si>
    <t>Elektromontáže</t>
  </si>
  <si>
    <t>Zemní práce při montážích</t>
  </si>
  <si>
    <t>Slepý stavební rozpočet</t>
  </si>
  <si>
    <t>Č</t>
  </si>
  <si>
    <t>1</t>
  </si>
  <si>
    <t>2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</si>
  <si>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</si>
  <si>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</si>
  <si>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</si>
  <si>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</si>
  <si>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</si>
  <si>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</si>
  <si>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</si>
  <si>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</si>
  <si>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</si>
  <si>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</si>
  <si>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</si>
  <si>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</si>
  <si>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</si>
  <si>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</si>
  <si>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</si>
  <si>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</si>
  <si>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</si>
  <si>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</si>
  <si>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</si>
  <si>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</si>
  <si>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</si>
  <si>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</si>
  <si>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</si>
  <si>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</si>
  <si>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</si>
  <si>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</si>
  <si>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</si>
  <si>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</si>
  <si>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</si>
  <si>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</si>
  <si>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</si>
  <si>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</si>
  <si>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</si>
  <si>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</si>
  <si>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</si>
  <si>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</si>
  <si>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</si>
  <si>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</si>
  <si>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</si>
  <si>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</si>
  <si>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</si>
  <si>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</si>
  <si>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</si>
  <si>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</si>
  <si>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</si>
  <si>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</si>
  <si>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</si>
  <si>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</si>
  <si>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</si>
  <si>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</si>
  <si>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</si>
  <si>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</si>
  <si>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65</t>
  </si>
  <si>
    <t>66</t>
  </si>
  <si>
    <t>67</t>
  </si>
  <si>
    <t>68</t>
  </si>
  <si>
    <t>69</t>
  </si>
  <si>
    <t>70</t>
  </si>
  <si>
    <t>73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</si>
  <si>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</si>
  <si>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</si>
  <si>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</si>
  <si>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</si>
  <si>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</si>
  <si>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</si>
  <si>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</si>
  <si>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</si>
  <si>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</si>
  <si>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</si>
  <si>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</si>
  <si>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</si>
  <si>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</si>
  <si>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</si>
  <si>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</si>
  <si>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</si>
  <si>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</si>
  <si>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</si>
  <si>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</si>
  <si>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</si>
  <si>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</si>
  <si>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</si>
  <si>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</si>
  <si>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</si>
  <si>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</si>
  <si>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</si>
  <si>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</si>
  <si>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</si>
  <si>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</si>
  <si>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</si>
  <si>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</si>
  <si>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</si>
  <si>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</si>
  <si>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</si>
  <si>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</si>
  <si>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</si>
  <si>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</si>
  <si>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</si>
  <si>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</si>
  <si>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</si>
  <si>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</si>
  <si>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</si>
  <si>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</si>
  <si>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</si>
  <si>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</si>
  <si>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</si>
  <si>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</si>
  <si>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</si>
  <si>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</si>
  <si>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</si>
  <si>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</si>
  <si>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</si>
  <si>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</si>
  <si>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</si>
  <si>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</si>
  <si>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</si>
  <si>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</si>
  <si>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</si>
  <si>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</si>
  <si>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</si>
  <si>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</si>
  <si>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</si>
  <si>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</si>
  <si>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</si>
  <si>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</si>
  <si>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</si>
  <si>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</si>
  <si>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</si>
  <si>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</si>
  <si>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</si>
  <si>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</si>
  <si>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</si>
  <si>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</si>
  <si>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</si>
  <si>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</si>
  <si>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</si>
  <si>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</si>
  <si>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</si>
  <si>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</si>
  <si>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</si>
  <si>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</si>
  <si>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</si>
  <si>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</si>
  <si>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</si>
  <si>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</si>
  <si>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</si>
  <si>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</si>
  <si>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</si>
  <si>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</si>
  <si>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</si>
  <si>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</si>
  <si>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</si>
  <si>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</si>
  <si>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</si>
  <si>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</si>
  <si>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</si>
  <si>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</si>
  <si>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</si>
  <si>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</si>
  <si>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</si>
  <si>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</si>
  <si>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</si>
  <si>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</si>
  <si>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</si>
  <si>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</si>
  <si>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</si>
  <si>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</si>
  <si>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</si>
  <si>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</si>
  <si>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</si>
  <si>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</si>
  <si>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</si>
  <si>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</si>
  <si>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</si>
  <si>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</si>
  <si>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</si>
  <si>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</si>
  <si>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</si>
  <si>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</si>
  <si>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</si>
  <si>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</si>
  <si>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</si>
  <si>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</si>
  <si>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</si>
  <si>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</si>
  <si>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</si>
  <si>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</si>
  <si>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</si>
  <si>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</si>
  <si>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</si>
  <si>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</si>
  <si>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</si>
  <si>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</si>
  <si>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</si>
  <si>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</si>
  <si>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</si>
  <si>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</si>
  <si>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</si>
  <si>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</si>
  <si>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</si>
  <si>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</si>
  <si>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</si>
  <si>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</si>
  <si>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</si>
  <si>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</si>
  <si>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</si>
  <si>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</si>
  <si>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</si>
  <si>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</si>
  <si>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</si>
  <si>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</si>
  <si>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</si>
  <si>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</si>
  <si>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</si>
  <si>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</si>
  <si>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</si>
  <si>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</si>
  <si>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</si>
  <si>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</si>
  <si>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</si>
  <si>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</si>
  <si>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</si>
  <si>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</si>
  <si>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</si>
  <si>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</si>
  <si>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</si>
  <si>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</si>
  <si>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</si>
  <si>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</si>
  <si>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</si>
  <si>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</si>
  <si>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</si>
  <si>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</si>
  <si>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</si>
  <si>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</si>
  <si>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</si>
  <si>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</si>
  <si>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</si>
  <si>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</si>
  <si>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</si>
  <si>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</si>
  <si>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</si>
  <si>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</si>
  <si>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</si>
  <si>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</si>
  <si>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</si>
  <si>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</si>
  <si>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</si>
  <si>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</si>
  <si>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</si>
  <si>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</si>
  <si>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</si>
  <si>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</si>
  <si>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</si>
  <si>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</si>
  <si>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</si>
  <si>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</si>
  <si>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</si>
  <si>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</si>
  <si>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</si>
  <si>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</si>
  <si>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</si>
  <si>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</si>
  <si>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</si>
  <si>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</si>
  <si>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</si>
  <si>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</si>
  <si>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</si>
  <si>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</si>
  <si>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</si>
  <si>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</si>
  <si>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</si>
  <si>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</si>
  <si>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</si>
  <si>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</si>
  <si>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</si>
  <si>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</si>
  <si>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</si>
  <si>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</si>
  <si>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</si>
  <si>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</si>
  <si>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</si>
  <si>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</si>
  <si>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</si>
  <si>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</si>
  <si>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</si>
  <si>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</si>
  <si>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</si>
  <si>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</si>
  <si>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</si>
  <si>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</si>
  <si>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</si>
  <si>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</si>
  <si>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</si>
  <si>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</si>
  <si>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</si>
  <si>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</si>
  <si>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</si>
  <si>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</si>
  <si>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</si>
  <si>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</si>
  <si>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</si>
  <si>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</si>
  <si>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</si>
  <si>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</si>
  <si>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</si>
  <si>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</si>
  <si>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</si>
  <si>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</si>
  <si>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</si>
  <si>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</si>
  <si>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</si>
  <si>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</si>
  <si>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</si>
  <si>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</si>
  <si>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</si>
  <si>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</si>
  <si>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</si>
  <si>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</si>
  <si>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</si>
  <si>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</si>
  <si>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</si>
  <si>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</si>
  <si>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</si>
  <si>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</si>
  <si>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</si>
  <si>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</si>
  <si>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</si>
  <si>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</si>
  <si>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</si>
  <si>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</si>
  <si>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</si>
  <si>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</si>
  <si>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</si>
  <si>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</si>
  <si>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</si>
  <si>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</si>
  <si>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</si>
  <si>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</si>
  <si>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</si>
  <si>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</si>
  <si>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</si>
  <si>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</si>
  <si>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</si>
  <si>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</si>
  <si>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</si>
  <si>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</si>
  <si>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</si>
  <si>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</si>
  <si>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</si>
  <si>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</si>
  <si>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</si>
  <si>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</si>
  <si>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</si>
  <si>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</si>
  <si>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</si>
  <si>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</si>
  <si>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</si>
  <si>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</si>
  <si>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</si>
  <si>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</si>
  <si>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</si>
  <si>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</si>
  <si>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</si>
  <si>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</si>
  <si>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</si>
  <si>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</si>
  <si>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</si>
  <si>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</si>
  <si>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</si>
  <si>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</si>
  <si>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</si>
  <si>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713190812R</t>
  </si>
  <si>
    <t>713511371R</t>
  </si>
  <si>
    <t>998713101R</t>
  </si>
  <si>
    <t>311311911R</t>
  </si>
  <si>
    <t>311351101R</t>
  </si>
  <si>
    <t>311351102R</t>
  </si>
  <si>
    <t>317941121R</t>
  </si>
  <si>
    <t>Varianta:</t>
  </si>
  <si>
    <t>346244381R</t>
  </si>
  <si>
    <t>411351101R</t>
  </si>
  <si>
    <t>411351102R</t>
  </si>
  <si>
    <t>413941021R</t>
  </si>
  <si>
    <t>413941121R</t>
  </si>
  <si>
    <t>416064212R</t>
  </si>
  <si>
    <t>416093121R</t>
  </si>
  <si>
    <t>416093131R</t>
  </si>
  <si>
    <t>602011112R</t>
  </si>
  <si>
    <t>612421637R</t>
  </si>
  <si>
    <t>641960000R</t>
  </si>
  <si>
    <t>712300832R</t>
  </si>
  <si>
    <t>998712101R</t>
  </si>
  <si>
    <t>965081112R</t>
  </si>
  <si>
    <t>971035331R</t>
  </si>
  <si>
    <t>971035351R</t>
  </si>
  <si>
    <t>974031664R</t>
  </si>
  <si>
    <t>978013191R</t>
  </si>
  <si>
    <t>978036191R</t>
  </si>
  <si>
    <t>999281105R</t>
  </si>
  <si>
    <t>979081111R</t>
  </si>
  <si>
    <t>979081121R</t>
  </si>
  <si>
    <t>979082111R</t>
  </si>
  <si>
    <t>979082121R</t>
  </si>
  <si>
    <t>979990001R</t>
  </si>
  <si>
    <t>979990121R</t>
  </si>
  <si>
    <t>713481111R</t>
  </si>
  <si>
    <t>1.17</t>
  </si>
  <si>
    <t>998713201</t>
  </si>
  <si>
    <t>722176112R</t>
  </si>
  <si>
    <t>1.22</t>
  </si>
  <si>
    <t>1.23m</t>
  </si>
  <si>
    <t>1.23</t>
  </si>
  <si>
    <t>998724201</t>
  </si>
  <si>
    <t>725869218R</t>
  </si>
  <si>
    <t>1.21</t>
  </si>
  <si>
    <t>m1.5</t>
  </si>
  <si>
    <t>998725201</t>
  </si>
  <si>
    <t>1.3</t>
  </si>
  <si>
    <t>m1.3</t>
  </si>
  <si>
    <t>1.4</t>
  </si>
  <si>
    <t>m1.4</t>
  </si>
  <si>
    <t>1.5</t>
  </si>
  <si>
    <t>1.6</t>
  </si>
  <si>
    <t>m1.6</t>
  </si>
  <si>
    <t>1.7</t>
  </si>
  <si>
    <t>m1.7</t>
  </si>
  <si>
    <t>1.8</t>
  </si>
  <si>
    <t>m1.8</t>
  </si>
  <si>
    <t>998741201</t>
  </si>
  <si>
    <t>1.1</t>
  </si>
  <si>
    <t>m1.1</t>
  </si>
  <si>
    <t>1.30</t>
  </si>
  <si>
    <t>m1.30</t>
  </si>
  <si>
    <t>751398051R</t>
  </si>
  <si>
    <t>1.20</t>
  </si>
  <si>
    <t>1.10</t>
  </si>
  <si>
    <t>1.2</t>
  </si>
  <si>
    <t>m1.2</t>
  </si>
  <si>
    <t>1.9</t>
  </si>
  <si>
    <t>751322111R</t>
  </si>
  <si>
    <t>m1.11b</t>
  </si>
  <si>
    <t>1.11b</t>
  </si>
  <si>
    <t>m1.11a</t>
  </si>
  <si>
    <t>1.11a</t>
  </si>
  <si>
    <t>1.12</t>
  </si>
  <si>
    <t>m1.13b</t>
  </si>
  <si>
    <t>1.13b</t>
  </si>
  <si>
    <t>m1.13a</t>
  </si>
  <si>
    <t>1.13a</t>
  </si>
  <si>
    <t>751514178R</t>
  </si>
  <si>
    <t>1.13d</t>
  </si>
  <si>
    <t>751514179R</t>
  </si>
  <si>
    <t>1.13c</t>
  </si>
  <si>
    <t>751511021R</t>
  </si>
  <si>
    <t>1.14a</t>
  </si>
  <si>
    <t>1.14b</t>
  </si>
  <si>
    <t>1.14c</t>
  </si>
  <si>
    <t>1.14d</t>
  </si>
  <si>
    <t>1.14e</t>
  </si>
  <si>
    <t>1.14n</t>
  </si>
  <si>
    <t>1.140</t>
  </si>
  <si>
    <t>751514112R</t>
  </si>
  <si>
    <t>1.14f</t>
  </si>
  <si>
    <t>751514212R</t>
  </si>
  <si>
    <t>1.14g</t>
  </si>
  <si>
    <t>1.14l</t>
  </si>
  <si>
    <t>1.14h</t>
  </si>
  <si>
    <t>1.14i</t>
  </si>
  <si>
    <t>1.14j</t>
  </si>
  <si>
    <t>1.14k</t>
  </si>
  <si>
    <t>1.14m</t>
  </si>
  <si>
    <t>751514411R</t>
  </si>
  <si>
    <t>1.15a</t>
  </si>
  <si>
    <t>751514412R</t>
  </si>
  <si>
    <t>1.15b</t>
  </si>
  <si>
    <t>1.15c</t>
  </si>
  <si>
    <t>1.16</t>
  </si>
  <si>
    <t>751322131R</t>
  </si>
  <si>
    <t>1.18</t>
  </si>
  <si>
    <t>751311111R</t>
  </si>
  <si>
    <t>1.19</t>
  </si>
  <si>
    <t>998751201</t>
  </si>
  <si>
    <t>1.25</t>
  </si>
  <si>
    <t>1.26</t>
  </si>
  <si>
    <t>1.27</t>
  </si>
  <si>
    <t>1.28</t>
  </si>
  <si>
    <t>941311111R</t>
  </si>
  <si>
    <t>949101112R</t>
  </si>
  <si>
    <t>952901111</t>
  </si>
  <si>
    <t>2.17</t>
  </si>
  <si>
    <t>2.22</t>
  </si>
  <si>
    <t>2.23m</t>
  </si>
  <si>
    <t>2.23</t>
  </si>
  <si>
    <t>2.21</t>
  </si>
  <si>
    <t>2.3</t>
  </si>
  <si>
    <t>m2.3</t>
  </si>
  <si>
    <t>2.4</t>
  </si>
  <si>
    <t>m2.4</t>
  </si>
  <si>
    <t>2.5</t>
  </si>
  <si>
    <t>m2.5</t>
  </si>
  <si>
    <t>2.6</t>
  </si>
  <si>
    <t>m2.6</t>
  </si>
  <si>
    <t>2.7</t>
  </si>
  <si>
    <t>m2.7</t>
  </si>
  <si>
    <t>2.8</t>
  </si>
  <si>
    <t>m2.8</t>
  </si>
  <si>
    <t>2.1</t>
  </si>
  <si>
    <t>m2.1</t>
  </si>
  <si>
    <t>2.30</t>
  </si>
  <si>
    <t>m2.30</t>
  </si>
  <si>
    <t>2.20</t>
  </si>
  <si>
    <t>2.10</t>
  </si>
  <si>
    <t>2.2</t>
  </si>
  <si>
    <t>m2.2</t>
  </si>
  <si>
    <t>2.9</t>
  </si>
  <si>
    <t>m2.11b</t>
  </si>
  <si>
    <t>2.11b</t>
  </si>
  <si>
    <t>m2.11a</t>
  </si>
  <si>
    <t>2.11a</t>
  </si>
  <si>
    <t>2.12</t>
  </si>
  <si>
    <t>m2.13b</t>
  </si>
  <si>
    <t>2.13b</t>
  </si>
  <si>
    <t>m2.13a</t>
  </si>
  <si>
    <t>2.13a</t>
  </si>
  <si>
    <t>2.13d</t>
  </si>
  <si>
    <t>2.13c</t>
  </si>
  <si>
    <t>2.14a</t>
  </si>
  <si>
    <t>2.14b</t>
  </si>
  <si>
    <t>2.14c</t>
  </si>
  <si>
    <t>2.14d</t>
  </si>
  <si>
    <t>2.14e</t>
  </si>
  <si>
    <t>2.14n</t>
  </si>
  <si>
    <t>2.14o</t>
  </si>
  <si>
    <t>2.14f</t>
  </si>
  <si>
    <t>2.14g</t>
  </si>
  <si>
    <t>2.14h</t>
  </si>
  <si>
    <t>2.14i</t>
  </si>
  <si>
    <t>2.14j</t>
  </si>
  <si>
    <t>2.14k</t>
  </si>
  <si>
    <t>2.14l</t>
  </si>
  <si>
    <t>2.14m</t>
  </si>
  <si>
    <t>2.15a</t>
  </si>
  <si>
    <t>2.15b</t>
  </si>
  <si>
    <t>2.15c</t>
  </si>
  <si>
    <t>2.16</t>
  </si>
  <si>
    <t>2.18</t>
  </si>
  <si>
    <t>2.19</t>
  </si>
  <si>
    <t>2.25</t>
  </si>
  <si>
    <t>2.26</t>
  </si>
  <si>
    <t>2.27</t>
  </si>
  <si>
    <t>2.28</t>
  </si>
  <si>
    <t>3.18x</t>
  </si>
  <si>
    <t>3.22</t>
  </si>
  <si>
    <t>3.23m</t>
  </si>
  <si>
    <t>3.23</t>
  </si>
  <si>
    <t>3.21</t>
  </si>
  <si>
    <t>3.3</t>
  </si>
  <si>
    <t>m3.3</t>
  </si>
  <si>
    <t>3.4</t>
  </si>
  <si>
    <t>m3.4</t>
  </si>
  <si>
    <t>3.5</t>
  </si>
  <si>
    <t>m3.5</t>
  </si>
  <si>
    <t>3.6</t>
  </si>
  <si>
    <t>m3.6</t>
  </si>
  <si>
    <t>3.7</t>
  </si>
  <si>
    <t>m3.7</t>
  </si>
  <si>
    <t>3.8</t>
  </si>
  <si>
    <t>m3.8</t>
  </si>
  <si>
    <t>3.1</t>
  </si>
  <si>
    <t>m3.1</t>
  </si>
  <si>
    <t>m3.30</t>
  </si>
  <si>
    <t>3.30</t>
  </si>
  <si>
    <t>3.20</t>
  </si>
  <si>
    <t>3.10</t>
  </si>
  <si>
    <t>3.2</t>
  </si>
  <si>
    <t>m3.2</t>
  </si>
  <si>
    <t>3.9</t>
  </si>
  <si>
    <t>m3.11b</t>
  </si>
  <si>
    <t>3.11b</t>
  </si>
  <si>
    <t>m3.11a</t>
  </si>
  <si>
    <t>3.11a</t>
  </si>
  <si>
    <t>3.12</t>
  </si>
  <si>
    <t>m3.13b</t>
  </si>
  <si>
    <t>3.13b</t>
  </si>
  <si>
    <t>m3.13a</t>
  </si>
  <si>
    <t>3.13a</t>
  </si>
  <si>
    <t>3.14d</t>
  </si>
  <si>
    <t>3.13c</t>
  </si>
  <si>
    <t>3.15a</t>
  </si>
  <si>
    <t>3.15b</t>
  </si>
  <si>
    <t>3.15c</t>
  </si>
  <si>
    <t>3.15d</t>
  </si>
  <si>
    <t>3.15e</t>
  </si>
  <si>
    <t>3.14n</t>
  </si>
  <si>
    <t>3.14o</t>
  </si>
  <si>
    <t>3.15f</t>
  </si>
  <si>
    <t>3.15g</t>
  </si>
  <si>
    <t>3.15h</t>
  </si>
  <si>
    <t>3.15i</t>
  </si>
  <si>
    <t>3.15j</t>
  </si>
  <si>
    <t>3.15k</t>
  </si>
  <si>
    <t>3.16a</t>
  </si>
  <si>
    <t>3.16b</t>
  </si>
  <si>
    <t>3.16c</t>
  </si>
  <si>
    <t>3.17</t>
  </si>
  <si>
    <t>3.18</t>
  </si>
  <si>
    <t>3.19</t>
  </si>
  <si>
    <t>3.25</t>
  </si>
  <si>
    <t>3.26</t>
  </si>
  <si>
    <t>3.27</t>
  </si>
  <si>
    <t>3.28</t>
  </si>
  <si>
    <t>4.18x</t>
  </si>
  <si>
    <t>4.22</t>
  </si>
  <si>
    <t>4.23m</t>
  </si>
  <si>
    <t>4.23</t>
  </si>
  <si>
    <t>4.21</t>
  </si>
  <si>
    <t>4.3</t>
  </si>
  <si>
    <t>m4.3</t>
  </si>
  <si>
    <t>4.4</t>
  </si>
  <si>
    <t>m4.4</t>
  </si>
  <si>
    <t>4.5</t>
  </si>
  <si>
    <t>m4.5</t>
  </si>
  <si>
    <t>4.6</t>
  </si>
  <si>
    <t>m4.6</t>
  </si>
  <si>
    <t>4.7</t>
  </si>
  <si>
    <t>m4.7</t>
  </si>
  <si>
    <t>4.8</t>
  </si>
  <si>
    <t>m4.8</t>
  </si>
  <si>
    <t>4.1</t>
  </si>
  <si>
    <t>m4.1</t>
  </si>
  <si>
    <t>4.20</t>
  </si>
  <si>
    <t>4.10</t>
  </si>
  <si>
    <t>4.2</t>
  </si>
  <si>
    <t>m4.2</t>
  </si>
  <si>
    <t>4.9</t>
  </si>
  <si>
    <t>m4.11b</t>
  </si>
  <si>
    <t>4.11b</t>
  </si>
  <si>
    <t>m4.11a</t>
  </si>
  <si>
    <t>4.11a</t>
  </si>
  <si>
    <t>4.12</t>
  </si>
  <si>
    <t>m4.13b</t>
  </si>
  <si>
    <t>4.13b</t>
  </si>
  <si>
    <t>m4.13a</t>
  </si>
  <si>
    <t>4.13a</t>
  </si>
  <si>
    <t>4.14d</t>
  </si>
  <si>
    <t>4.13c</t>
  </si>
  <si>
    <t>4.15a</t>
  </si>
  <si>
    <t>4.15b</t>
  </si>
  <si>
    <t>4.15c</t>
  </si>
  <si>
    <t>4.15d</t>
  </si>
  <si>
    <t>4.15e</t>
  </si>
  <si>
    <t>4.14n</t>
  </si>
  <si>
    <t>4.14o</t>
  </si>
  <si>
    <t>4.15f</t>
  </si>
  <si>
    <t>4.15g</t>
  </si>
  <si>
    <t>4.15h</t>
  </si>
  <si>
    <t>4.15i</t>
  </si>
  <si>
    <t>4.15j</t>
  </si>
  <si>
    <t>4.15k</t>
  </si>
  <si>
    <t>4.14l</t>
  </si>
  <si>
    <t>4.14m</t>
  </si>
  <si>
    <t>4.16a</t>
  </si>
  <si>
    <t>4.16b</t>
  </si>
  <si>
    <t>4.16c</t>
  </si>
  <si>
    <t>4.17</t>
  </si>
  <si>
    <t>4.18</t>
  </si>
  <si>
    <t>4.19</t>
  </si>
  <si>
    <t>4.25</t>
  </si>
  <si>
    <t>4.26</t>
  </si>
  <si>
    <t>4.27</t>
  </si>
  <si>
    <t>4.28</t>
  </si>
  <si>
    <t>210 010102.R00</t>
  </si>
  <si>
    <t>210 010453.R00</t>
  </si>
  <si>
    <t>210 810047.R00</t>
  </si>
  <si>
    <t>210 850024.R00</t>
  </si>
  <si>
    <t>210 100258.R00</t>
  </si>
  <si>
    <t>R</t>
  </si>
  <si>
    <t>210 290042.R01</t>
  </si>
  <si>
    <t>34572109</t>
  </si>
  <si>
    <t>34571428</t>
  </si>
  <si>
    <t>34111039</t>
  </si>
  <si>
    <t>460 680021.RT1</t>
  </si>
  <si>
    <t>460 680022.RT1</t>
  </si>
  <si>
    <t>Snížení energetické náročnosti MŠ Hrabinská Český Těšín</t>
  </si>
  <si>
    <t>Rekuperace</t>
  </si>
  <si>
    <t>Hrabinská 1016/51, Český Těšín</t>
  </si>
  <si>
    <t>Zkrácený popis / Varianta</t>
  </si>
  <si>
    <t>Rozměry</t>
  </si>
  <si>
    <t>Odstranění tepelné izolace, škvára tl. do 10 cm</t>
  </si>
  <si>
    <t>Nátěr protipož. třívrstvý nosníků I a H</t>
  </si>
  <si>
    <t>Přesun hmot pro izolace tepelné, výšky do 6 m</t>
  </si>
  <si>
    <t>Beton nadzákladových zdí prostý C 16/20</t>
  </si>
  <si>
    <t>Bednění nadzákladových zdí jednostranné - zřízení</t>
  </si>
  <si>
    <t>Bednění nadzákladových zdí jednostranné-odstranění</t>
  </si>
  <si>
    <t>Osazení ocelových válcovaných nosníků do č.12</t>
  </si>
  <si>
    <t>včetně dodávky profilu I č.10</t>
  </si>
  <si>
    <t>Plentování ocelových nosníků výšky do 20 cm</t>
  </si>
  <si>
    <t>s použitím suché maltové směsi</t>
  </si>
  <si>
    <t>Bednění stropů deskových, bednění vlastní -zřízení</t>
  </si>
  <si>
    <t>systémové, včetně podepření, tl. stropu 24 cm</t>
  </si>
  <si>
    <t>Bednění stropů deskových, vlastní - odstranění</t>
  </si>
  <si>
    <t>Svary bet.oceli stropní konstr.nosníků tl.do 10 mm</t>
  </si>
  <si>
    <t>Osazení válcovaných nosníků ve stropech do č. 12</t>
  </si>
  <si>
    <t>včetně dodávky profilu I č. 12</t>
  </si>
  <si>
    <t>Kazeta bílá lehce strukturovaná písková bez děrování, hrana A, tl. 8mm, bez izolace</t>
  </si>
  <si>
    <t>Čelo podhledu SDK, v.do 500 mm, 1xCD, 1xRB 12,5 mm</t>
  </si>
  <si>
    <t>Čelo podhledu SDK, v.do 800 mm, 1xCD, 1xRB 12,5 mm</t>
  </si>
  <si>
    <t>Omítka jádrová, ručně</t>
  </si>
  <si>
    <t>tloušťka vrstvy 10 mm</t>
  </si>
  <si>
    <t>Omítka vnitřní zdiva, MVC, štuková</t>
  </si>
  <si>
    <t>Těsnění spár otvorových prvků PU pěnou</t>
  </si>
  <si>
    <t>Odstranění povlakové krytiny střech do 10° 2vrstvé</t>
  </si>
  <si>
    <t>Přesun hmot pro povlakové krytiny, výšky do 6 m</t>
  </si>
  <si>
    <t>Bourání dlažeb z dlaždic půdních plochy do 1 m2</t>
  </si>
  <si>
    <t>Vybourání otv. zeď cihel. pl. 0,09m2, tl.15 cm, MC</t>
  </si>
  <si>
    <t>Vybourání otv. zeď cihel. pl.0,09 m2, tl.45 cm, MC</t>
  </si>
  <si>
    <t>Vysekání rýh zeď cihelná vtah. nosníků 15 x 15 cm</t>
  </si>
  <si>
    <t>Otlučení omítek vnitřních stěn v rozsahu do 100 %</t>
  </si>
  <si>
    <t>Otlučení omítek břízolitových v rozsahu 100 %</t>
  </si>
  <si>
    <t>Přesun hmot pro opravy a údržbu do výšky 6 m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</si>
  <si>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</si>
  <si>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</si>
  <si>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</si>
  <si>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</si>
  <si>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Poplatek za skládku stavební suti</t>
  </si>
  <si>
    <t>Poplatek za skládku suti - asfaltové pásy</t>
  </si>
  <si>
    <t>Montáž - Nalepení izolace na potrubí</t>
  </si>
  <si>
    <t>Tepelná izolace potrubí</t>
  </si>
  <si>
    <t>Přesun hmot procentní pro izolace tepelné v objektech v do 6 m</t>
  </si>
  <si>
    <t>Přesun hmot pro izolace tepelné stanovený procentní sazbou (%) z ceny vodorovná dopravní vzdálenost do 50 m v objektech výšky do 6 m</t>
  </si>
  <si>
    <t>Montáž PVC potrubí</t>
  </si>
  <si>
    <t>PVC potrubí/hadička pro odvod kondenzátu</t>
  </si>
  <si>
    <t>Montáž PVC lišty ke krytí kondenzátu</t>
  </si>
  <si>
    <t>PVC lišta pro zakrytí potrubí/hadičky na odvod kondenzátu barva omítky</t>
  </si>
  <si>
    <t>Přesun hmot procentní pro strojní vybavení v objektech v do 6 m</t>
  </si>
  <si>
    <t>Přesun hmot pro strojní vybavení  stanovený procentní sazbou (%) z ceny vodorovná dopravní vzdálenost do 50 m v objektech výšky do 6 m</t>
  </si>
  <si>
    <t>Montáž sifonu</t>
  </si>
  <si>
    <t>Sifon podtlakový (sestava pro odvod kondenzátu z jednotky)</t>
  </si>
  <si>
    <t>Montáž - Připojení digitálního ovladače (LCD Panelu)</t>
  </si>
  <si>
    <t>Přesun hmot procentní pro zařizovací předměty v objektech v do 6 m</t>
  </si>
  <si>
    <t>Přesun hmot pro zařizovací předměty  stanovený procentní sazbou (%) z ceny vodorovná dopravní vzdálenost do 50 m v objektech výšky do 6 m</t>
  </si>
  <si>
    <t>Napájecí kabel CYKY-J 3x4mm (hl. jistič 1Px32A)</t>
  </si>
  <si>
    <t>Montáž - Připojení jednotky do sítě</t>
  </si>
  <si>
    <t>Ovladač digitální (LCD Panel) + kotvící materiál</t>
  </si>
  <si>
    <t>Montáž - uchycení digitálního ovladače (LCD Panel)</t>
  </si>
  <si>
    <t>Komunikační kabel SYKFY 2x2x0,5mm</t>
  </si>
  <si>
    <t>Kabel na propojení uz. klapek se servopohonem 24V/AC 2x0,75mm</t>
  </si>
  <si>
    <t>Montáž - Připojení servopohonu klapek k jednotce</t>
  </si>
  <si>
    <t>PVC kabelová lišta pro ukrytí kabeláže, barva omítky + kotvící materiál</t>
  </si>
  <si>
    <t>Montáž PVC lišty</t>
  </si>
  <si>
    <t>Montáž uchycení PVC  lišty</t>
  </si>
  <si>
    <t>Zemnící kabel FeZn 1x10mm</t>
  </si>
  <si>
    <t>Montáž - Uzemnění jednotky</t>
  </si>
  <si>
    <t>Přesun hmot procentní pro silnoproud v objektech v do 6 m</t>
  </si>
  <si>
    <t>Přesun hmot pro silnoproud stanovený procentní sazbou (%) z ceny vodorovná dopravní vzdálenost do 50 m v objektech výšky do 6 m</t>
  </si>
  <si>
    <t>Vnitřní rekuperační jednotka, Qv=725m3/h</t>
  </si>
  <si>
    <t xml:space="preserve">Vnitřní rekuperační jednotka, Qv=725m3/h_x000D_
Interiérová jednotka obsahuje: EC ventilátory s dozadu zahnutými lopatkami, protiproudý výměník tepla - hliníkový, výsuvný filtr vzduchu na sání čerstvého a odtahového vzduchu F7/M5, by-pass přiváděného vzduchu s klapkou, hliníkové regulační klapky, elektrický ohřívač vzduchu o jmenovitém výkonu 3,60kW, digitální regula,_x000D_
pružné manžety_x000D_
_x000D_
Technické parametry:_x000D_
Umístění: vnitřní jednotka, podstropní provedení_x000D_
Účinnost ZZT: 77,4%_x000D_
Akustický tlak v 1m: do 34dBA_x000D_
Napájení: 1F 230V 50Hz_x000D_
Průtok vzduchu: 725m3/h_x000D_
Jmenovitý příkon: max 4,16kW_x000D_
Hmotnost: 153Kg_x000D_
Rozměry: 992*364*1934_x000D_
_x000D_
</t>
  </si>
  <si>
    <t>Kompletní montáž kompaktní rekuperační jednotky</t>
  </si>
  <si>
    <t xml:space="preserve">Kompletní montáž kompaktní rekuperační jednotky - tj. montáž a zapojení sestavy přívodu a odvodu vzduchu, připojení k napájení a datovým vstupům, dokumentace skutečného provedení, příprava zařízení k vyzkoušení, výchozí revize elektroinstalace, oživení, komplexní vyzkoušení, uvedení do provozu, předání a zaškolení obsluhy_x000D_
</t>
  </si>
  <si>
    <t>CO2 čidlo  - IR Senzor + kabeláž pro napojení 24V (15m)</t>
  </si>
  <si>
    <t>Montáž - připojení</t>
  </si>
  <si>
    <t>Montáž Výustek fasádní</t>
  </si>
  <si>
    <t>Fasádní výustka Přívodní/Odvodní 250x250mm</t>
  </si>
  <si>
    <t>El. dohřívač vzduchu 3,60kW - nutno uvést v objednávce; osazen z výroby do jednotky - není potřeba dodatečná montáž</t>
  </si>
  <si>
    <t>El. dohřívač vzduchu 3,60kW - nutno uvést v objednávce;_x000D_
osazen z výroby do jednotky - není potřeba dodatečná montáž</t>
  </si>
  <si>
    <t>Kotvící materiál pro uchycení jednotky + Antivibrační podložka</t>
  </si>
  <si>
    <t>Montáž - Zavěšení a ukotvení jednotky ke stropu</t>
  </si>
  <si>
    <t>Uzavírací klapka se servopohonem a havarijní funkcí D250mm</t>
  </si>
  <si>
    <t>Montáž klapek</t>
  </si>
  <si>
    <t>Mtž potrubí ohebného izol minerální vatou z Al laminátu D do 200 mm</t>
  </si>
  <si>
    <t>Flexi hadice (tepelně a zvukově izolovaná) - D100mm - flex</t>
  </si>
  <si>
    <t>Mtž potrubí ohebného izol minerální vatou z Al laminátu D do 300 mm</t>
  </si>
  <si>
    <t>Montáž kruhového potrubí ohebného  izolovaného minerální vatou z Al laminátu, průměru přes 200 do 300 mm</t>
  </si>
  <si>
    <t>Flexi hadice (tepelně a zvukově izolovaná) - D250mm - flex</t>
  </si>
  <si>
    <t>DEC páska, kotvící materiál</t>
  </si>
  <si>
    <t>Montáž kruhového potrubí průměru přes 100 do 200 mm</t>
  </si>
  <si>
    <t xml:space="preserve">Montáž kruhového potrubí průměru přes 100 do 200 mm_x000D_
</t>
  </si>
  <si>
    <t>Kruhové potrubí - Pozink, Spiro - D100mm rovná trouba</t>
  </si>
  <si>
    <t>Montáž kruhového potrubí průměru přes 200 do 300 mm</t>
  </si>
  <si>
    <t>Kruhové potrubí - Pozink, Spiro - D250mm rovná trouba</t>
  </si>
  <si>
    <t>Mtž oblouku do plech potrubí kruh D do 200 mm</t>
  </si>
  <si>
    <t>Montáž oblouku do plechového potrubí  kruhového, průměru přes 100 do 200 mm</t>
  </si>
  <si>
    <t>SPIRO kruhové potrubí  - D100mm koleno 90°</t>
  </si>
  <si>
    <t>Mtž oblouku do plech potrubí kruh D do 300 mm</t>
  </si>
  <si>
    <t>Montáž oblouku do plechového potrubí  kruhového, průměru přes 200 do 300 mm</t>
  </si>
  <si>
    <t>SPIRO kruhové potrubí  - D250mm koleno 90°</t>
  </si>
  <si>
    <t>Mtž potrubí plech čtyřhran. rovné do 0,13m2</t>
  </si>
  <si>
    <t>čtyřhranné potrubí - Pozink (použít lišty 20mm) - 355x140 rovná trouba</t>
  </si>
  <si>
    <t>čtyřhranné potrubí - Pozink (použít lišty 20mm)  - 355x125 rovná trouba</t>
  </si>
  <si>
    <t>čtyřhranné potrubí - Pozink (použít lišty 20mm) - 355x125 rovná trouba</t>
  </si>
  <si>
    <t>čtyřhranné potrubí - Pozink (použít lišty 20mm) - 355x100 rovná trouba</t>
  </si>
  <si>
    <t>čtyřhranné potrubí - Pozink (použít lišty 20mm) - 250x100 rovná trouba</t>
  </si>
  <si>
    <t>čtyřhranné potrubí - Pozink (použít lišty 20mm) - 180x100 rovná trouba</t>
  </si>
  <si>
    <t>čtyřhranné potrubí - Pozink (použít lišty 20mm) - 140x125 rovná trouba</t>
  </si>
  <si>
    <t>čtyřhranné potrubí - Pozink (použít lišty 20mm) - 100x100 rovná trouba</t>
  </si>
  <si>
    <t>Mtž oblouku do plech potrubí čtyřhran do 0,07 m2</t>
  </si>
  <si>
    <t>Čtyřhranné potrubí - Pozink (použít lišty 20mm) - 355x140 koleno 90°/45°</t>
  </si>
  <si>
    <t>Mtž odbočky do plech potrubí čtyřhran. do 0,07 m2</t>
  </si>
  <si>
    <t>Čtyřhranné potrubí - Pozink (použít lišty 20mm) - 355x140/355x120-100 Odbočka 90°</t>
  </si>
  <si>
    <t>Čtyřhranné potrubí - Pozink (použít lišty 20mm) - 355x140/140x125-100 Odbočka 90°</t>
  </si>
  <si>
    <t>Čtyřhranné potrubí - Pozink (použít lišty 20mm) - 355x125/355x100-100 Odbočka 90°</t>
  </si>
  <si>
    <t>Čtyřhranné potrubí - Pozink (použít lišty 20mm) - 355x100/250x100-100 Odbočka 90°</t>
  </si>
  <si>
    <t>Čtyřhranné potrubí - Pozink (použít lišty 20mm) - 250x100/180x100-100 Odbočka 90°</t>
  </si>
  <si>
    <t>Čtyřhranné potrubí - Pozink (použít lišty 20mm) - 180x100/100x100-100 Odbočka 90°</t>
  </si>
  <si>
    <t>Čtyřhranné potrubí - Pozink (použít lišty 20mm) - 140x125/100x100-100 Odbočka 90°</t>
  </si>
  <si>
    <t>Mtž přechodu osového do plech potrubí čtyřhran. do 0,035 m2</t>
  </si>
  <si>
    <t>Redukce Kruhové/čtyřhranné - 100x100/D100</t>
  </si>
  <si>
    <t>Mtž přechodu osového nebo asymetrického do plech potrubí do 0,07 m2</t>
  </si>
  <si>
    <t>Redukce Kruhové/čtyřhranné - 355x140/D250 asimetrická redukce</t>
  </si>
  <si>
    <t>Redukce Kruhové/čtyřhranné - 250x250/D250 redukce</t>
  </si>
  <si>
    <t>Kotvící materiál pro kruhové a čtyřhranné potrubí (závěsy, závěsné lišty, Závitové tyče, tex, kruhové závěsy, hmoždinky, lišty)</t>
  </si>
  <si>
    <t>Montáž plenum boxu</t>
  </si>
  <si>
    <t>Plenum box 200x100/D100mm</t>
  </si>
  <si>
    <t>Montáž výustek</t>
  </si>
  <si>
    <t>Přívodní/Odvodní interiérové výustky 200x100mm</t>
  </si>
  <si>
    <t>Přesun hmot procentní pro vzduchotechniku v objektech v do 12 m</t>
  </si>
  <si>
    <t>Přesun hmot pro vzduchotechniku stanovený procentní sazbou (%) z ceny vodorovná dopravní vzdálenost do 50 m v objektech výšky do 12 m</t>
  </si>
  <si>
    <t>Založení revizní knihy</t>
  </si>
  <si>
    <t>Ostatní náklady bez rozlišení - Založení revizní knihy</t>
  </si>
  <si>
    <t>Průraz skrz obvodovou stěnu pro potrubí, utěsnění, zahlazení (práce+materiál)</t>
  </si>
  <si>
    <t>Zednické práce</t>
  </si>
  <si>
    <t>D+Montáž lešení řadového modulového lehkého zatížení do 200 kg/m2 š do 0,9 m v do 10 m vč. dopravy</t>
  </si>
  <si>
    <t>Lešení pomocné pro objekty pozemních staveb s lešeňovou podlahou v do 3,5 m zatížení do 150 kg/m2 vč. dopravy</t>
  </si>
  <si>
    <t>Lešení pomocné pracovní pro objekty pozemních staveb  pro zatížení do 150 kg/m2, o výšce lešeňové podlahy přes 1,9 do 3,5 m vč. dopravy</t>
  </si>
  <si>
    <t>Vyčištění budov bytové a občanské výstavby při výšce podlaží do 4 m</t>
  </si>
  <si>
    <t>Vyčištění budov nebo objektů před předáním do užívání  budov bytové nebo občanské výstavby, světlé výšky podlaží do 4 m</t>
  </si>
  <si>
    <t xml:space="preserve">Vnitřní rekuperační jednotka, Qv=725m3/h_x000D_
Interiérová jednotka obsahuje: EC ventilátory s dozadu zahnutými lopatkami, protiproudý výměník tepla - hliníkový, výsuvný filtr vzduchu na sání čerstvého a odtahového vzduchu F7/M5, by-pass přiváděného vzduchu s klapkou, hliníkové regulační klapky, elektrický ohřívač vzduchu o jmenovitém výkonu 3,60kW, digitální regulaci_x000D_
a pružné manžety_x000D_
_x000D_
Technické parametry:_x000D_
Umístění: vnitřní jednotka, podstropní provedení_x000D_
Účinnost ZZT: 77,4%_x000D_
Akustický tlak v 1m: do 34dBA_x000D_
Napájení: 1F 230V 50Hz_x000D_
Průtok vzduchu: 725m3/h_x000D_
Jmenovitý příkon: max 4,16kW_x000D_
Hmotnost: 153Kg_x000D_
Rozměry: 992*364*1934_x000D_
_x000D_
</t>
  </si>
  <si>
    <t>Mtž přechodu osového nebo asimetrického do plech potrubí do 0,07 m2</t>
  </si>
  <si>
    <t>Redukce Kruhové/čtyřhranné - 355x140/D250 asymetrická redukce</t>
  </si>
  <si>
    <t>Lišta z PH bez krabic,ulož. pevně,L 40 protahovací</t>
  </si>
  <si>
    <t>Krabice pancéřová z PH 8111,odbočná se zapojením</t>
  </si>
  <si>
    <t>Kabel CYKY-m 750 V 3 x 4 mm2 pevně uložený</t>
  </si>
  <si>
    <t>Kabel sdělovací NCEY 5 x 1 mm pevně uložený</t>
  </si>
  <si>
    <t>Ukončení celoplast. kabelů zákl./pás.do 5x4 mm2</t>
  </si>
  <si>
    <t>napojení zařízení VZT</t>
  </si>
  <si>
    <t>Ukončení vodičů v rozvaděči + zapojení do 2,5 mm2</t>
  </si>
  <si>
    <t>Napojení ve stávajících rozvaděčích silnoproud</t>
  </si>
  <si>
    <t>Koordinace s profesí VZT</t>
  </si>
  <si>
    <t>Zabezpečení pracoviště</t>
  </si>
  <si>
    <t>Revize</t>
  </si>
  <si>
    <t>vynášení suti do kontejneru</t>
  </si>
  <si>
    <t>Lišta vkládací z PVC délka 3 m  LV 18x13</t>
  </si>
  <si>
    <t>Lišta vkládací z PVC délka 3 m  LV 24x22</t>
  </si>
  <si>
    <t>Krabice elektroinstalační plastová 8111</t>
  </si>
  <si>
    <t>Kabel silový s Cu jádrem 750 V CYKY 3 C x 4 mm2</t>
  </si>
  <si>
    <t>Instalační kabel JYTY 2x1</t>
  </si>
  <si>
    <t>Rozvaděč R - doplnění  -  jistič 10kA 16C/1, 1x jistič 10kA 6C/1, 1x zdroj 230/24VDC, PE, N přípojnice, spoj. a podr. mat.</t>
  </si>
  <si>
    <t>Průraz zdivem v cihlové zdi tloušťky 15 cm do průměru 6 cm</t>
  </si>
  <si>
    <t>Průraz zdivem v cihlové zdi tloušťky 30 cm do průměru 6 cm</t>
  </si>
  <si>
    <t>20.12.2019</t>
  </si>
  <si>
    <t>MJ</t>
  </si>
  <si>
    <t>m2</t>
  </si>
  <si>
    <t>t</t>
  </si>
  <si>
    <t>m3</t>
  </si>
  <si>
    <t>m</t>
  </si>
  <si>
    <t>kus</t>
  </si>
  <si>
    <t>M2</t>
  </si>
  <si>
    <t>%</t>
  </si>
  <si>
    <t>M</t>
  </si>
  <si>
    <t>KPL</t>
  </si>
  <si>
    <t>KUS</t>
  </si>
  <si>
    <t>KS</t>
  </si>
  <si>
    <t>BM</t>
  </si>
  <si>
    <t>SOUBOR</t>
  </si>
  <si>
    <t>KG</t>
  </si>
  <si>
    <t>ks</t>
  </si>
  <si>
    <t>hod</t>
  </si>
  <si>
    <t>Množství</t>
  </si>
  <si>
    <t>Cena/MJ</t>
  </si>
  <si>
    <t>(Kč)</t>
  </si>
  <si>
    <t>Město Český Těšín</t>
  </si>
  <si>
    <t>C.E.I.S. CZ s.r.o.</t>
  </si>
  <si>
    <t> </t>
  </si>
  <si>
    <t>Blažek</t>
  </si>
  <si>
    <t>Cenová</t>
  </si>
  <si>
    <t>soustava</t>
  </si>
  <si>
    <t>RTS II / 2019</t>
  </si>
  <si>
    <t>CS ÚRS 2019 01</t>
  </si>
  <si>
    <t>CS ÚRS 2018 02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</si>
  <si>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</si>
  <si>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</si>
  <si>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</si>
  <si>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</si>
  <si>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</si>
  <si>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</si>
  <si>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</si>
  <si>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</si>
  <si>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</si>
  <si>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713_</t>
  </si>
  <si>
    <t>31_</t>
  </si>
  <si>
    <t>34_</t>
  </si>
  <si>
    <t>41_</t>
  </si>
  <si>
    <t>60_</t>
  </si>
  <si>
    <t>61_</t>
  </si>
  <si>
    <t>64_</t>
  </si>
  <si>
    <t>712_</t>
  </si>
  <si>
    <t>96_</t>
  </si>
  <si>
    <t>97_</t>
  </si>
  <si>
    <t>H99_</t>
  </si>
  <si>
    <t>S_</t>
  </si>
  <si>
    <t>724_</t>
  </si>
  <si>
    <t>725_</t>
  </si>
  <si>
    <t>741_</t>
  </si>
  <si>
    <t>751_</t>
  </si>
  <si>
    <t>OST_</t>
  </si>
  <si>
    <t>M21_</t>
  </si>
  <si>
    <t>M46_</t>
  </si>
  <si>
    <t>1140_71_</t>
  </si>
  <si>
    <t>1140_3_</t>
  </si>
  <si>
    <t>1140_4_</t>
  </si>
  <si>
    <t>1140_6_</t>
  </si>
  <si>
    <t>1140_9_</t>
  </si>
  <si>
    <t>1421_71_</t>
  </si>
  <si>
    <t>1421_72_</t>
  </si>
  <si>
    <t>1421_74_</t>
  </si>
  <si>
    <t>1421_75_</t>
  </si>
  <si>
    <t>1421_9_</t>
  </si>
  <si>
    <t>1422_71_</t>
  </si>
  <si>
    <t>1422_72_</t>
  </si>
  <si>
    <t>1422_74_</t>
  </si>
  <si>
    <t>1422_75_</t>
  </si>
  <si>
    <t>1422_9_</t>
  </si>
  <si>
    <t>1423_71_</t>
  </si>
  <si>
    <t>1423_72_</t>
  </si>
  <si>
    <t>1423_74_</t>
  </si>
  <si>
    <t>1423_75_</t>
  </si>
  <si>
    <t>1423_9_</t>
  </si>
  <si>
    <t>1424_71_</t>
  </si>
  <si>
    <t>1424_72_</t>
  </si>
  <si>
    <t>1424_74_</t>
  </si>
  <si>
    <t>1424_75_</t>
  </si>
  <si>
    <t>1424_9_</t>
  </si>
  <si>
    <t>1441_9_</t>
  </si>
  <si>
    <t>1140_</t>
  </si>
  <si>
    <t>1421_</t>
  </si>
  <si>
    <t>1422_</t>
  </si>
  <si>
    <t>1423_</t>
  </si>
  <si>
    <t>1424_</t>
  </si>
  <si>
    <t>1441_</t>
  </si>
  <si>
    <t>MAT</t>
  </si>
  <si>
    <t>WORK</t>
  </si>
  <si>
    <t>CELK</t>
  </si>
  <si>
    <t>ISWORK</t>
  </si>
  <si>
    <t>P</t>
  </si>
  <si>
    <t>GROUPCODE</t>
  </si>
  <si>
    <t>Výkaz výměr</t>
  </si>
  <si>
    <t>4*(0,2*1,5)   roznášecí betonový pražec na stropní desku viz část statika - odstranění násypu   </t>
  </si>
  <si>
    <t>4*(10*1,0+4*1,4)   Ič.100 0,37m2/m   </t>
  </si>
  <si>
    <t>4*(2*6,2+2*1,0)   Ič120 0,438m2/m   </t>
  </si>
  <si>
    <t>6+2   </t>
  </si>
  <si>
    <t>5+3+3+7+3   </t>
  </si>
  <si>
    <t>2+3   </t>
  </si>
  <si>
    <t>A+B   Celkem:</t>
  </si>
  <si>
    <t>5*2   </t>
  </si>
  <si>
    <t>1+1   </t>
  </si>
  <si>
    <t>2+1   </t>
  </si>
  <si>
    <t>2+2   </t>
  </si>
  <si>
    <t>12+2   </t>
  </si>
  <si>
    <t>6   </t>
  </si>
  <si>
    <t>3+2   </t>
  </si>
  <si>
    <t>1   </t>
  </si>
  <si>
    <t>4*(0,2*1,5*0,32)   roznášecí betonový pražec na stropní desku viz část statika   </t>
  </si>
  <si>
    <t>4*(0,32*(1,5+0,2+1,5+0,2))   roznášecí betonový pražec na stropní desku viz část statika   </t>
  </si>
  <si>
    <t>4*(10*1,0+4*1,4)*8,34/1000   8,34kg/m   </t>
  </si>
  <si>
    <t>4*(10*1,0+4*1,4)*0,15      </t>
  </si>
  <si>
    <t>4*12,0   otvory pro VZT - podepření stropních desek při stavebních úpravách   </t>
  </si>
  <si>
    <t>4*(4*0,068*2)   Ič.120   </t>
  </si>
  <si>
    <t>4*(2*6,2+2*1,0)*11,10/1000   11,10kg/m   </t>
  </si>
  <si>
    <t>4*(3,95*1,36)   učebny 102   </t>
  </si>
  <si>
    <t>4*(3,955*1,375)   učebny 103   </t>
  </si>
  <si>
    <t>4*(0,78*0,83+1,92*1,385)   učebny 104   </t>
  </si>
  <si>
    <t>4*(6,0*4,8)   učebny 106   </t>
  </si>
  <si>
    <t>4*(6,0*4,8)   učebny 107   </t>
  </si>
  <si>
    <t>4*(0,3*(6,0+6,0))   učebny 106   </t>
  </si>
  <si>
    <t>4*(0,3*(6,0+6,0))   učebny 107   </t>
  </si>
  <si>
    <t>4*(0,55*3,95)   učebny 102   </t>
  </si>
  <si>
    <t>4*(0,55*3,955)   učebny 103   </t>
  </si>
  <si>
    <t>4*(0,55*(0,78+0,83+1,14))   učebny 104   </t>
  </si>
  <si>
    <t>4*(10*1,0+2*1,4)*0,15      </t>
  </si>
  <si>
    <t>4*(8*1,0+2*1,4)*0,15      </t>
  </si>
  <si>
    <t>4*4*(2*(3,14*0,32))   VZT d320mm   </t>
  </si>
  <si>
    <t>4*2*(2*(3,14*0,32))   VZT d320mm   </t>
  </si>
  <si>
    <t>4*2*(2*(0,37+0,26+0,37+0,26))   VZT 370x260mm   </t>
  </si>
  <si>
    <t>4*2*(2*(0,3+0,15+0,3+0,15))   VZT 300x150mm   </t>
  </si>
  <si>
    <t>4*1*(2*(0,2+0,18+0,2+0,18))   VZT 200x180mm   </t>
  </si>
  <si>
    <t>4*1*(2*(0,15+0,15+0,15+0,15))   VZT 150x150mm   </t>
  </si>
  <si>
    <t>4*4   VZT d320mm   </t>
  </si>
  <si>
    <t>4*1   VZD 150x150mm   </t>
  </si>
  <si>
    <t>4*2   VZT d320mm   </t>
  </si>
  <si>
    <t>4*2   VZT 370x260mm   </t>
  </si>
  <si>
    <t>4*2   VZT 300x150mm   </t>
  </si>
  <si>
    <t>4*1   VZT 200x180mm   </t>
  </si>
  <si>
    <t>4*(10*1,0+4*1,4)      </t>
  </si>
  <si>
    <t>4*(2*1,0)*0,15      </t>
  </si>
  <si>
    <t>6,04292*15      </t>
  </si>
  <si>
    <t>6,04292*4      </t>
  </si>
  <si>
    <t>Potřebné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</si>
</sst>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color indexed="8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i/>
      <sz val="8"/>
      <color indexed="8"/>
      <name val="Arial"/>
      <charset val="238"/>
    </font>
    <font>
      <b/>
      <sz val="11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4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b/>
      <sz val="10"/>
      <color indexed="54"/>
      <name val="Arial"/>
      <charset val="238"/>
    </font>
    <font>
      <b/>
      <sz val="10"/>
      <color indexed="56"/>
      <name val="Arial"/>
      <charset val="238"/>
    </font>
    <font>
      <i/>
      <sz val="10"/>
      <color indexed="58"/>
      <name val="Arial"/>
      <charset val="238"/>
    </font>
    <font>
      <i/>
      <sz val="10"/>
      <color indexed="59"/>
      <name val="Arial"/>
      <charset val="238"/>
    </font>
    <font>
      <i/>
      <sz val="9"/>
      <color indexed="61"/>
      <name val="Arial"/>
      <charset val="238"/>
    </font>
    <font>
      <i/>
      <sz val="9"/>
      <color indexed="62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57"/>
        <bgColor indexed="9"/>
      </patternFill>
    </fill>
    <fill>
      <patternFill patternType="solid">
        <fgColor indexed="41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</xf>
    <xf numFmtId="0" fontId="1" fillId="0" borderId="12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vertical="center"/>
    </xf>
    <xf numFmtId="0" fontId="1" fillId="0" borderId="15" xfId="0" applyNumberFormat="1" applyFont="1" applyFill="1" applyBorder="1" applyAlignment="1" applyProtection="1">
      <alignment vertical="center"/>
    </xf>
    <xf numFmtId="4" fontId="4" fillId="2" borderId="16" xfId="0" applyNumberFormat="1" applyFont="1" applyFill="1" applyBorder="1" applyAlignment="1" applyProtection="1">
      <alignment horizontal="right" vertical="center"/>
    </xf>
    <xf numFmtId="49" fontId="1" fillId="0" borderId="17" xfId="0" applyNumberFormat="1" applyFont="1" applyFill="1" applyBorder="1" applyAlignment="1" applyProtection="1">
      <alignment horizontal="left" vertical="center"/>
    </xf>
    <xf numFmtId="49" fontId="9" fillId="0" borderId="18" xfId="0" applyNumberFormat="1" applyFont="1" applyFill="1" applyBorder="1" applyAlignment="1" applyProtection="1">
      <alignment horizontal="left" vertical="center"/>
    </xf>
    <xf numFmtId="49" fontId="1" fillId="0" borderId="19" xfId="0" applyNumberFormat="1" applyFont="1" applyFill="1" applyBorder="1" applyAlignment="1" applyProtection="1">
      <alignment horizontal="lef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9" fillId="0" borderId="20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9" fillId="0" borderId="21" xfId="0" applyNumberFormat="1" applyFont="1" applyFill="1" applyBorder="1" applyAlignment="1" applyProtection="1">
      <alignment horizontal="center" vertical="center"/>
    </xf>
    <xf numFmtId="4" fontId="1" fillId="0" borderId="14" xfId="0" applyNumberFormat="1" applyFont="1" applyFill="1" applyBorder="1" applyAlignment="1" applyProtection="1">
      <alignment horizontal="right" vertical="center"/>
    </xf>
    <xf numFmtId="4" fontId="1" fillId="0" borderId="7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</xf>
    <xf numFmtId="4" fontId="1" fillId="0" borderId="22" xfId="0" applyNumberFormat="1" applyFont="1" applyFill="1" applyBorder="1" applyAlignment="1" applyProtection="1">
      <alignment horizontal="right" vertical="center"/>
    </xf>
    <xf numFmtId="4" fontId="9" fillId="0" borderId="5" xfId="0" applyNumberFormat="1" applyFont="1" applyFill="1" applyBorder="1" applyAlignment="1" applyProtection="1">
      <alignment horizontal="right" vertical="center"/>
    </xf>
    <xf numFmtId="49" fontId="1" fillId="0" borderId="23" xfId="0" applyNumberFormat="1" applyFont="1" applyFill="1" applyBorder="1" applyAlignment="1" applyProtection="1">
      <alignment horizontal="left" vertical="center"/>
    </xf>
    <xf numFmtId="49" fontId="9" fillId="0" borderId="24" xfId="0" applyNumberFormat="1" applyFont="1" applyFill="1" applyBorder="1" applyAlignment="1" applyProtection="1">
      <alignment horizontal="left" vertical="center"/>
    </xf>
    <xf numFmtId="49" fontId="9" fillId="0" borderId="17" xfId="0" applyNumberFormat="1" applyFont="1" applyFill="1" applyBorder="1" applyAlignment="1" applyProtection="1">
      <alignment horizontal="left" vertical="center"/>
    </xf>
    <xf numFmtId="49" fontId="1" fillId="0" borderId="18" xfId="0" applyNumberFormat="1" applyFont="1" applyFill="1" applyBorder="1" applyAlignment="1" applyProtection="1">
      <alignment horizontal="left" vertical="center"/>
    </xf>
    <xf numFmtId="49" fontId="10" fillId="3" borderId="19" xfId="0" applyNumberFormat="1" applyFont="1" applyFill="1" applyBorder="1" applyAlignment="1" applyProtection="1">
      <alignment horizontal="left" vertical="center"/>
    </xf>
    <xf numFmtId="49" fontId="11" fillId="4" borderId="14" xfId="0" applyNumberFormat="1" applyFont="1" applyFill="1" applyBorder="1" applyAlignment="1" applyProtection="1">
      <alignment horizontal="left" vertical="center"/>
    </xf>
    <xf numFmtId="49" fontId="12" fillId="0" borderId="14" xfId="0" applyNumberFormat="1" applyFont="1" applyFill="1" applyBorder="1" applyAlignment="1" applyProtection="1">
      <alignment horizontal="left" vertical="center"/>
    </xf>
    <xf numFmtId="49" fontId="10" fillId="3" borderId="14" xfId="0" applyNumberFormat="1" applyFont="1" applyFill="1" applyBorder="1" applyAlignment="1" applyProtection="1">
      <alignment horizontal="left" vertical="center"/>
    </xf>
    <xf numFmtId="49" fontId="13" fillId="0" borderId="14" xfId="0" applyNumberFormat="1" applyFont="1" applyFill="1" applyBorder="1" applyAlignment="1" applyProtection="1">
      <alignment horizontal="left" vertical="center"/>
    </xf>
    <xf numFmtId="49" fontId="12" fillId="0" borderId="9" xfId="0" applyNumberFormat="1" applyFont="1" applyFill="1" applyBorder="1" applyAlignment="1" applyProtection="1">
      <alignment horizontal="left" vertical="center"/>
    </xf>
    <xf numFmtId="49" fontId="9" fillId="0" borderId="23" xfId="0" applyNumberFormat="1" applyFont="1" applyFill="1" applyBorder="1" applyAlignment="1" applyProtection="1">
      <alignment horizontal="left" vertical="center"/>
    </xf>
    <xf numFmtId="49" fontId="1" fillId="0" borderId="24" xfId="0" applyNumberFormat="1" applyFont="1" applyFill="1" applyBorder="1" applyAlignment="1" applyProtection="1">
      <alignment horizontal="left" vertical="center"/>
    </xf>
    <xf numFmtId="49" fontId="14" fillId="3" borderId="7" xfId="0" applyNumberFormat="1" applyFont="1" applyFill="1" applyBorder="1" applyAlignment="1" applyProtection="1">
      <alignment horizontal="left" vertical="center"/>
    </xf>
    <xf numFmtId="49" fontId="15" fillId="4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14" fillId="3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49" fontId="12" fillId="0" borderId="1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right" vertical="top"/>
    </xf>
    <xf numFmtId="49" fontId="10" fillId="3" borderId="7" xfId="0" applyNumberFormat="1" applyFont="1" applyFill="1" applyBorder="1" applyAlignment="1" applyProtection="1">
      <alignment horizontal="left" vertical="center"/>
    </xf>
    <xf numFmtId="49" fontId="11" fillId="4" borderId="0" xfId="0" applyNumberFormat="1" applyFont="1" applyFill="1" applyBorder="1" applyAlignment="1" applyProtection="1">
      <alignment horizontal="left" vertical="center"/>
    </xf>
    <xf numFmtId="49" fontId="10" fillId="3" borderId="0" xfId="0" applyNumberFormat="1" applyFont="1" applyFill="1" applyBorder="1" applyAlignment="1" applyProtection="1">
      <alignment horizontal="left" vertical="center"/>
    </xf>
    <xf numFmtId="49" fontId="9" fillId="0" borderId="23" xfId="0" applyNumberFormat="1" applyFont="1" applyFill="1" applyBorder="1" applyAlignment="1" applyProtection="1">
      <alignment horizontal="center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/>
    </xf>
    <xf numFmtId="49" fontId="9" fillId="0" borderId="25" xfId="0" applyNumberFormat="1" applyFont="1" applyFill="1" applyBorder="1" applyAlignment="1" applyProtection="1">
      <alignment horizontal="center" vertical="center"/>
    </xf>
    <xf numFmtId="49" fontId="9" fillId="0" borderId="26" xfId="0" applyNumberFormat="1" applyFont="1" applyFill="1" applyBorder="1" applyAlignment="1" applyProtection="1">
      <alignment horizontal="center" vertical="center"/>
    </xf>
    <xf numFmtId="49" fontId="10" fillId="3" borderId="7" xfId="0" applyNumberFormat="1" applyFont="1" applyFill="1" applyBorder="1" applyAlignment="1" applyProtection="1">
      <alignment horizontal="left" vertical="center"/>
      <protection locked="0"/>
    </xf>
    <xf numFmtId="49" fontId="11" fillId="4" borderId="0" xfId="0" applyNumberFormat="1" applyFont="1" applyFill="1" applyBorder="1" applyAlignment="1" applyProtection="1">
      <alignment horizontal="left" vertical="center"/>
      <protection locked="0"/>
    </xf>
    <xf numFmtId="4" fontId="12" fillId="5" borderId="0" xfId="0" applyNumberFormat="1" applyFont="1" applyFill="1" applyBorder="1" applyAlignment="1" applyProtection="1">
      <alignment horizontal="right" vertical="center"/>
      <protection locked="0"/>
    </xf>
    <xf numFmtId="49" fontId="10" fillId="3" borderId="0" xfId="0" applyNumberFormat="1" applyFont="1" applyFill="1" applyBorder="1" applyAlignment="1" applyProtection="1">
      <alignment horizontal="left" vertical="center"/>
      <protection locked="0"/>
    </xf>
    <xf numFmtId="4" fontId="13" fillId="5" borderId="0" xfId="0" applyNumberFormat="1" applyFont="1" applyFill="1" applyBorder="1" applyAlignment="1" applyProtection="1">
      <alignment horizontal="right" vertical="center"/>
      <protection locked="0"/>
    </xf>
    <xf numFmtId="4" fontId="12" fillId="5" borderId="1" xfId="0" applyNumberFormat="1" applyFont="1" applyFill="1" applyBorder="1" applyAlignment="1" applyProtection="1">
      <alignment horizontal="right" vertical="center"/>
      <protection locked="0"/>
    </xf>
    <xf numFmtId="49" fontId="9" fillId="0" borderId="27" xfId="0" applyNumberFormat="1" applyFont="1" applyFill="1" applyBorder="1" applyAlignment="1" applyProtection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center"/>
    </xf>
    <xf numFmtId="49" fontId="14" fillId="3" borderId="11" xfId="0" applyNumberFormat="1" applyFont="1" applyFill="1" applyBorder="1" applyAlignment="1" applyProtection="1">
      <alignment horizontal="right" vertical="center"/>
    </xf>
    <xf numFmtId="49" fontId="15" fillId="4" borderId="12" xfId="0" applyNumberFormat="1" applyFont="1" applyFill="1" applyBorder="1" applyAlignment="1" applyProtection="1">
      <alignment horizontal="right" vertical="center"/>
    </xf>
    <xf numFmtId="49" fontId="12" fillId="0" borderId="12" xfId="0" applyNumberFormat="1" applyFont="1" applyFill="1" applyBorder="1" applyAlignment="1" applyProtection="1">
      <alignment horizontal="right" vertical="center"/>
    </xf>
    <xf numFmtId="49" fontId="14" fillId="3" borderId="12" xfId="0" applyNumberFormat="1" applyFont="1" applyFill="1" applyBorder="1" applyAlignment="1" applyProtection="1">
      <alignment horizontal="right" vertical="center"/>
    </xf>
    <xf numFmtId="49" fontId="13" fillId="0" borderId="12" xfId="0" applyNumberFormat="1" applyFont="1" applyFill="1" applyBorder="1" applyAlignment="1" applyProtection="1">
      <alignment horizontal="right" vertical="center"/>
    </xf>
    <xf numFmtId="49" fontId="12" fillId="0" borderId="22" xfId="0" applyNumberFormat="1" applyFont="1" applyFill="1" applyBorder="1" applyAlignment="1" applyProtection="1">
      <alignment horizontal="right" vertical="center"/>
    </xf>
    <xf numFmtId="49" fontId="15" fillId="4" borderId="0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right" vertical="center"/>
    </xf>
    <xf numFmtId="4" fontId="14" fillId="3" borderId="7" xfId="0" applyNumberFormat="1" applyFont="1" applyFill="1" applyBorder="1" applyAlignment="1" applyProtection="1">
      <alignment horizontal="right" vertical="center"/>
    </xf>
    <xf numFmtId="4" fontId="15" fillId="4" borderId="0" xfId="0" applyNumberFormat="1" applyFont="1" applyFill="1" applyBorder="1" applyAlignment="1" applyProtection="1">
      <alignment horizontal="right" vertical="center"/>
    </xf>
    <xf numFmtId="4" fontId="14" fillId="3" borderId="0" xfId="0" applyNumberFormat="1" applyFont="1" applyFill="1" applyBorder="1" applyAlignment="1" applyProtection="1">
      <alignment horizontal="right" vertical="center"/>
    </xf>
    <xf numFmtId="49" fontId="9" fillId="0" borderId="29" xfId="0" applyNumberFormat="1" applyFont="1" applyFill="1" applyBorder="1" applyAlignment="1" applyProtection="1">
      <alignment horizontal="left" vertical="center"/>
    </xf>
    <xf numFmtId="49" fontId="15" fillId="4" borderId="19" xfId="0" applyNumberFormat="1" applyFont="1" applyFill="1" applyBorder="1" applyAlignment="1" applyProtection="1">
      <alignment horizontal="left" vertical="center"/>
    </xf>
    <xf numFmtId="49" fontId="15" fillId="4" borderId="14" xfId="0" applyNumberFormat="1" applyFont="1" applyFill="1" applyBorder="1" applyAlignment="1" applyProtection="1">
      <alignment horizontal="left" vertical="center"/>
    </xf>
    <xf numFmtId="49" fontId="9" fillId="0" borderId="30" xfId="0" applyNumberFormat="1" applyFont="1" applyFill="1" applyBorder="1" applyAlignment="1" applyProtection="1">
      <alignment horizontal="left" vertical="center"/>
    </xf>
    <xf numFmtId="49" fontId="15" fillId="4" borderId="7" xfId="0" applyNumberFormat="1" applyFont="1" applyFill="1" applyBorder="1" applyAlignment="1" applyProtection="1">
      <alignment horizontal="left" vertical="center"/>
    </xf>
    <xf numFmtId="49" fontId="9" fillId="0" borderId="30" xfId="0" applyNumberFormat="1" applyFont="1" applyFill="1" applyBorder="1" applyAlignment="1" applyProtection="1">
      <alignment horizontal="right" vertical="center"/>
    </xf>
    <xf numFmtId="49" fontId="15" fillId="4" borderId="7" xfId="0" applyNumberFormat="1" applyFont="1" applyFill="1" applyBorder="1" applyAlignment="1" applyProtection="1">
      <alignment horizontal="right" vertical="center"/>
    </xf>
    <xf numFmtId="4" fontId="18" fillId="0" borderId="0" xfId="0" applyNumberFormat="1" applyFont="1" applyFill="1" applyBorder="1" applyAlignment="1" applyProtection="1">
      <alignment horizontal="right" vertical="center"/>
    </xf>
    <xf numFmtId="4" fontId="19" fillId="0" borderId="0" xfId="0" applyNumberFormat="1" applyFont="1" applyFill="1" applyBorder="1" applyAlignment="1" applyProtection="1">
      <alignment horizontal="right" vertical="center"/>
    </xf>
    <xf numFmtId="49" fontId="9" fillId="0" borderId="31" xfId="0" applyNumberFormat="1" applyFont="1" applyFill="1" applyBorder="1" applyAlignment="1" applyProtection="1">
      <alignment horizontal="left" vertical="center"/>
    </xf>
    <xf numFmtId="49" fontId="15" fillId="4" borderId="11" xfId="0" applyNumberFormat="1" applyFont="1" applyFill="1" applyBorder="1" applyAlignment="1" applyProtection="1">
      <alignment horizontal="right" vertical="center"/>
    </xf>
    <xf numFmtId="4" fontId="12" fillId="0" borderId="12" xfId="0" applyNumberFormat="1" applyFont="1" applyFill="1" applyBorder="1" applyAlignment="1" applyProtection="1">
      <alignment horizontal="right" vertical="center"/>
    </xf>
    <xf numFmtId="4" fontId="13" fillId="0" borderId="12" xfId="0" applyNumberFormat="1" applyFont="1" applyFill="1" applyBorder="1" applyAlignment="1" applyProtection="1">
      <alignment horizontal="right" vertical="center"/>
    </xf>
    <xf numFmtId="4" fontId="12" fillId="0" borderId="22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left" vertical="center"/>
    </xf>
    <xf numFmtId="0" fontId="1" fillId="0" borderId="12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/>
    </xf>
    <xf numFmtId="49" fontId="2" fillId="0" borderId="33" xfId="0" applyNumberFormat="1" applyFont="1" applyFill="1" applyBorder="1" applyAlignment="1" applyProtection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/>
    </xf>
    <xf numFmtId="49" fontId="7" fillId="0" borderId="13" xfId="0" applyNumberFormat="1" applyFont="1" applyFill="1" applyBorder="1" applyAlignment="1" applyProtection="1">
      <alignment horizontal="left" vertical="center"/>
    </xf>
    <xf numFmtId="0" fontId="7" fillId="0" borderId="16" xfId="0" applyNumberFormat="1" applyFont="1" applyFill="1" applyBorder="1" applyAlignment="1" applyProtection="1">
      <alignment horizontal="left" vertical="center"/>
    </xf>
    <xf numFmtId="49" fontId="5" fillId="0" borderId="13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/>
    </xf>
    <xf numFmtId="49" fontId="4" fillId="0" borderId="13" xfId="0" applyNumberFormat="1" applyFont="1" applyFill="1" applyBorder="1" applyAlignment="1" applyProtection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0" fontId="4" fillId="2" borderId="33" xfId="0" applyNumberFormat="1" applyFont="1" applyFill="1" applyBorder="1" applyAlignment="1" applyProtection="1">
      <alignment horizontal="left" vertical="center"/>
    </xf>
    <xf numFmtId="49" fontId="5" fillId="0" borderId="34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0" borderId="35" xfId="0" applyNumberFormat="1" applyFont="1" applyFill="1" applyBorder="1" applyAlignment="1" applyProtection="1">
      <alignment horizontal="left" vertical="center"/>
    </xf>
    <xf numFmtId="49" fontId="5" fillId="0" borderId="15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36" xfId="0" applyNumberFormat="1" applyFont="1" applyFill="1" applyBorder="1" applyAlignment="1" applyProtection="1">
      <alignment horizontal="left" vertical="center"/>
    </xf>
    <xf numFmtId="49" fontId="5" fillId="0" borderId="37" xfId="0" applyNumberFormat="1" applyFont="1" applyFill="1" applyBorder="1" applyAlignment="1" applyProtection="1">
      <alignment horizontal="left" vertical="center"/>
    </xf>
    <xf numFmtId="0" fontId="5" fillId="0" borderId="38" xfId="0" applyNumberFormat="1" applyFont="1" applyFill="1" applyBorder="1" applyAlignment="1" applyProtection="1">
      <alignment horizontal="left" vertical="center"/>
    </xf>
    <xf numFmtId="0" fontId="5" fillId="0" borderId="39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38" xfId="0" applyNumberFormat="1" applyFont="1" applyFill="1" applyBorder="1" applyAlignment="1" applyProtection="1">
      <alignment horizontal="left" vertical="center"/>
    </xf>
    <xf numFmtId="0" fontId="1" fillId="0" borderId="41" xfId="0" applyNumberFormat="1" applyFont="1" applyFill="1" applyBorder="1" applyAlignment="1" applyProtection="1">
      <alignment horizontal="left" vertical="center"/>
    </xf>
    <xf numFmtId="0" fontId="1" fillId="0" borderId="40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9" fillId="0" borderId="5" xfId="0" applyNumberFormat="1" applyFont="1" applyFill="1" applyBorder="1" applyAlignment="1" applyProtection="1">
      <alignment horizontal="left" vertical="center"/>
    </xf>
    <xf numFmtId="49" fontId="9" fillId="0" borderId="42" xfId="0" applyNumberFormat="1" applyFont="1" applyFill="1" applyBorder="1" applyAlignment="1" applyProtection="1">
      <alignment horizontal="center" vertical="center"/>
    </xf>
    <xf numFmtId="0" fontId="9" fillId="0" borderId="43" xfId="0" applyNumberFormat="1" applyFont="1" applyFill="1" applyBorder="1" applyAlignment="1" applyProtection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/>
    </xf>
    <xf numFmtId="49" fontId="9" fillId="0" borderId="40" xfId="0" applyNumberFormat="1" applyFont="1" applyFill="1" applyBorder="1" applyAlignment="1" applyProtection="1">
      <alignment horizontal="left" vertical="center"/>
    </xf>
    <xf numFmtId="0" fontId="9" fillId="0" borderId="38" xfId="0" applyNumberFormat="1" applyFont="1" applyFill="1" applyBorder="1" applyAlignment="1" applyProtection="1">
      <alignment horizontal="left" vertical="center"/>
    </xf>
    <xf numFmtId="0" fontId="9" fillId="0" borderId="39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49" fontId="1" fillId="0" borderId="19" xfId="0" applyNumberFormat="1" applyFont="1" applyFill="1" applyBorder="1" applyAlignment="1" applyProtection="1">
      <alignment horizontal="left" vertical="center"/>
    </xf>
    <xf numFmtId="0" fontId="1" fillId="0" borderId="35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" fillId="5" borderId="5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0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NumberFormat="1" applyFont="1" applyFill="1" applyBorder="1" applyAlignment="1" applyProtection="1">
      <alignment horizontal="left" vertical="center"/>
      <protection locked="0"/>
    </xf>
    <xf numFmtId="0" fontId="1" fillId="5" borderId="38" xfId="0" applyNumberFormat="1" applyFont="1" applyFill="1" applyBorder="1" applyAlignment="1" applyProtection="1">
      <alignment horizontal="left" vertical="center"/>
      <protection locked="0"/>
    </xf>
    <xf numFmtId="0" fontId="1" fillId="5" borderId="41" xfId="0" applyNumberFormat="1" applyFont="1" applyFill="1" applyBorder="1" applyAlignment="1" applyProtection="1">
      <alignment horizontal="left" vertical="center"/>
      <protection locked="0"/>
    </xf>
    <xf numFmtId="49" fontId="9" fillId="0" borderId="19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left" vertical="center"/>
    </xf>
    <xf numFmtId="0" fontId="9" fillId="0" borderId="41" xfId="0" applyNumberFormat="1" applyFont="1" applyFill="1" applyBorder="1" applyAlignment="1" applyProtection="1">
      <alignment horizontal="left" vertical="center"/>
    </xf>
    <xf numFmtId="49" fontId="14" fillId="3" borderId="7" xfId="0" applyNumberFormat="1" applyFont="1" applyFill="1" applyBorder="1" applyAlignment="1" applyProtection="1">
      <alignment horizontal="left" vertical="center"/>
    </xf>
    <xf numFmtId="0" fontId="14" fillId="3" borderId="7" xfId="0" applyNumberFormat="1" applyFont="1" applyFill="1" applyBorder="1" applyAlignment="1" applyProtection="1">
      <alignment horizontal="left" vertical="center"/>
    </xf>
    <xf numFmtId="49" fontId="15" fillId="4" borderId="0" xfId="0" applyNumberFormat="1" applyFont="1" applyFill="1" applyBorder="1" applyAlignment="1" applyProtection="1">
      <alignment horizontal="left" vertical="center"/>
    </xf>
    <xf numFmtId="0" fontId="15" fillId="4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5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12" xfId="0" applyNumberFormat="1" applyFont="1" applyFill="1" applyBorder="1" applyAlignment="1" applyProtection="1">
      <alignment horizontal="left" vertical="center"/>
    </xf>
    <xf numFmtId="49" fontId="14" fillId="3" borderId="0" xfId="0" applyNumberFormat="1" applyFont="1" applyFill="1" applyBorder="1" applyAlignment="1" applyProtection="1">
      <alignment horizontal="left" vertical="center"/>
    </xf>
    <xf numFmtId="0" fontId="14" fillId="3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49" fontId="9" fillId="0" borderId="45" xfId="0" applyNumberFormat="1" applyFont="1" applyFill="1" applyBorder="1" applyAlignment="1" applyProtection="1">
      <alignment horizontal="left" vertical="center"/>
    </xf>
    <xf numFmtId="0" fontId="9" fillId="0" borderId="46" xfId="0" applyNumberFormat="1" applyFont="1" applyFill="1" applyBorder="1" applyAlignment="1" applyProtection="1">
      <alignment horizontal="left" vertical="center"/>
    </xf>
    <xf numFmtId="49" fontId="15" fillId="4" borderId="7" xfId="0" applyNumberFormat="1" applyFont="1" applyFill="1" applyBorder="1" applyAlignment="1" applyProtection="1">
      <alignment horizontal="left" vertical="center"/>
    </xf>
    <xf numFmtId="0" fontId="15" fillId="4" borderId="7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8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061" name="Picture 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85" name="Picture 1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109" name="Picture 1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133" name="Picture 1">
          <a:extLst>
            <a:ext uri="{FF2B5EF4-FFF2-40B4-BE49-F238E27FC236}">
              <a16:creationId xmlns:a16="http://schemas.microsoft.com/office/drawing/2014/main" id="{00000000-0008-0000-0400-00000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157" name="Picture 1">
          <a:extLst>
            <a:ext uri="{FF2B5EF4-FFF2-40B4-BE49-F238E27FC236}">
              <a16:creationId xmlns:a16="http://schemas.microsoft.com/office/drawing/2014/main" id="{00000000-0008-0000-0500-00000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/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105"/>
      <c r="B1" s="1"/>
      <c r="C1" s="106" t="s">
        <v>22</v>
      </c>
      <c r="D1" s="107"/>
      <c r="E1" s="107"/>
      <c r="F1" s="107"/>
      <c r="G1" s="107"/>
      <c r="H1" s="107"/>
      <c r="I1" s="107"/>
    </row>
    <row r="2" spans="1:10" x14ac:dyDescent="0.2">
      <c r="A2" s="108" t="s">
        <v>0</v>
      </c>
      <c r="B2" s="109"/>
      <c r="C2" s="112" t="str">
        <f>'Stavební rozpočet'!D2</f>
        <v>Snížení energetické náročnosti MŠ Hrabinská Český Těšín</v>
      </c>
      <c r="D2" s="113"/>
      <c r="E2" s="115" t="s">
        <v>32</v>
      </c>
      <c r="F2" s="115" t="str">
        <f>'Stavební rozpočet'!J2</f>
        <v>Město Český Těšín</v>
      </c>
      <c r="G2" s="109"/>
      <c r="H2" s="115" t="s">
        <v>52</v>
      </c>
      <c r="I2" s="116" t="s">
        <v>56</v>
      </c>
      <c r="J2" s="19"/>
    </row>
    <row r="3" spans="1:10" x14ac:dyDescent="0.2">
      <c r="A3" s="110"/>
      <c r="B3" s="111"/>
      <c r="C3" s="114"/>
      <c r="D3" s="114"/>
      <c r="E3" s="111"/>
      <c r="F3" s="111"/>
      <c r="G3" s="111"/>
      <c r="H3" s="111"/>
      <c r="I3" s="117"/>
      <c r="J3" s="19"/>
    </row>
    <row r="4" spans="1:10" x14ac:dyDescent="0.2">
      <c r="A4" s="119" t="s">
        <v>1</v>
      </c>
      <c r="B4" s="111"/>
      <c r="C4" s="120" t="str">
        <f>'Stavební rozpočet'!D4</f>
        <v>Rekuperace</v>
      </c>
      <c r="D4" s="111"/>
      <c r="E4" s="120" t="s">
        <v>33</v>
      </c>
      <c r="F4" s="120" t="str">
        <f>'Stavební rozpočet'!J4</f>
        <v>C.E.I.S. CZ s.r.o.</v>
      </c>
      <c r="G4" s="111"/>
      <c r="H4" s="120" t="s">
        <v>52</v>
      </c>
      <c r="I4" s="118" t="s">
        <v>57</v>
      </c>
      <c r="J4" s="19"/>
    </row>
    <row r="5" spans="1:10" x14ac:dyDescent="0.2">
      <c r="A5" s="110"/>
      <c r="B5" s="111"/>
      <c r="C5" s="111"/>
      <c r="D5" s="111"/>
      <c r="E5" s="111"/>
      <c r="F5" s="111"/>
      <c r="G5" s="111"/>
      <c r="H5" s="111"/>
      <c r="I5" s="117"/>
      <c r="J5" s="19"/>
    </row>
    <row r="6" spans="1:10" x14ac:dyDescent="0.2">
      <c r="A6" s="119" t="s">
        <v>2</v>
      </c>
      <c r="B6" s="111"/>
      <c r="C6" s="120" t="str">
        <f>'Stavební rozpočet'!D6</f>
        <v>Hrabinská 1016/51, Český Těšín</v>
      </c>
      <c r="D6" s="111"/>
      <c r="E6" s="120" t="s">
        <v>34</v>
      </c>
      <c r="F6" s="120" t="str">
        <f>'Stavební rozpočet'!J6</f>
        <v> </v>
      </c>
      <c r="G6" s="111"/>
      <c r="H6" s="120" t="s">
        <v>52</v>
      </c>
      <c r="I6" s="118"/>
      <c r="J6" s="19"/>
    </row>
    <row r="7" spans="1:10" x14ac:dyDescent="0.2">
      <c r="A7" s="110"/>
      <c r="B7" s="111"/>
      <c r="C7" s="111"/>
      <c r="D7" s="111"/>
      <c r="E7" s="111"/>
      <c r="F7" s="111"/>
      <c r="G7" s="111"/>
      <c r="H7" s="111"/>
      <c r="I7" s="117"/>
      <c r="J7" s="19"/>
    </row>
    <row r="8" spans="1:10" x14ac:dyDescent="0.2">
      <c r="A8" s="119" t="s">
        <v>3</v>
      </c>
      <c r="B8" s="111"/>
      <c r="C8" s="120" t="str">
        <f>'Stavební rozpočet'!G4</f>
        <v xml:space="preserve"> </v>
      </c>
      <c r="D8" s="111"/>
      <c r="E8" s="120" t="s">
        <v>35</v>
      </c>
      <c r="F8" s="120" t="str">
        <f>'Stavební rozpočet'!G6</f>
        <v xml:space="preserve"> </v>
      </c>
      <c r="G8" s="111"/>
      <c r="H8" s="123" t="s">
        <v>53</v>
      </c>
      <c r="I8" s="118" t="s">
        <v>58</v>
      </c>
      <c r="J8" s="19"/>
    </row>
    <row r="9" spans="1:10" x14ac:dyDescent="0.2">
      <c r="A9" s="110"/>
      <c r="B9" s="111"/>
      <c r="C9" s="111"/>
      <c r="D9" s="111"/>
      <c r="E9" s="111"/>
      <c r="F9" s="111"/>
      <c r="G9" s="111"/>
      <c r="H9" s="111"/>
      <c r="I9" s="117"/>
      <c r="J9" s="19"/>
    </row>
    <row r="10" spans="1:10" x14ac:dyDescent="0.2">
      <c r="A10" s="119" t="s">
        <v>4</v>
      </c>
      <c r="B10" s="111"/>
      <c r="C10" s="120">
        <f>'Stavební rozpočet'!D8</f>
        <v>8013112</v>
      </c>
      <c r="D10" s="111"/>
      <c r="E10" s="120" t="s">
        <v>36</v>
      </c>
      <c r="F10" s="120" t="str">
        <f>'Stavební rozpočet'!J8</f>
        <v>Blažek</v>
      </c>
      <c r="G10" s="111"/>
      <c r="H10" s="123" t="s">
        <v>54</v>
      </c>
      <c r="I10" s="124" t="str">
        <f>'Stavební rozpočet'!G8</f>
        <v>20.12.2019</v>
      </c>
      <c r="J10" s="19"/>
    </row>
    <row r="11" spans="1:10" x14ac:dyDescent="0.2">
      <c r="A11" s="121"/>
      <c r="B11" s="122"/>
      <c r="C11" s="122"/>
      <c r="D11" s="122"/>
      <c r="E11" s="122"/>
      <c r="F11" s="122"/>
      <c r="G11" s="122"/>
      <c r="H11" s="122"/>
      <c r="I11" s="125"/>
      <c r="J11" s="19"/>
    </row>
    <row r="12" spans="1:10" ht="23.45" customHeight="1" x14ac:dyDescent="0.2">
      <c r="A12" s="126" t="s">
        <v>5</v>
      </c>
      <c r="B12" s="127"/>
      <c r="C12" s="127"/>
      <c r="D12" s="127"/>
      <c r="E12" s="127"/>
      <c r="F12" s="127"/>
      <c r="G12" s="127"/>
      <c r="H12" s="127"/>
      <c r="I12" s="127"/>
    </row>
    <row r="13" spans="1:10" ht="26.45" customHeight="1" x14ac:dyDescent="0.2">
      <c r="A13" s="2" t="s">
        <v>6</v>
      </c>
      <c r="B13" s="128" t="s">
        <v>19</v>
      </c>
      <c r="C13" s="129"/>
      <c r="D13" s="2" t="s">
        <v>23</v>
      </c>
      <c r="E13" s="128" t="s">
        <v>37</v>
      </c>
      <c r="F13" s="129"/>
      <c r="G13" s="2" t="s">
        <v>38</v>
      </c>
      <c r="H13" s="128" t="s">
        <v>55</v>
      </c>
      <c r="I13" s="129"/>
      <c r="J13" s="19"/>
    </row>
    <row r="14" spans="1:10" ht="15.2" customHeight="1" x14ac:dyDescent="0.2">
      <c r="A14" s="3" t="s">
        <v>7</v>
      </c>
      <c r="B14" s="8" t="s">
        <v>20</v>
      </c>
      <c r="C14" s="12">
        <f>SUM('Stavební rozpočet'!AB12:AB786)</f>
        <v>18008</v>
      </c>
      <c r="D14" s="130" t="s">
        <v>24</v>
      </c>
      <c r="E14" s="131"/>
      <c r="F14" s="12">
        <v>0</v>
      </c>
      <c r="G14" s="130" t="s">
        <v>39</v>
      </c>
      <c r="H14" s="131"/>
      <c r="I14" s="12">
        <v>0</v>
      </c>
      <c r="J14" s="19"/>
    </row>
    <row r="15" spans="1:10" ht="15.2" customHeight="1" x14ac:dyDescent="0.2">
      <c r="A15" s="4"/>
      <c r="B15" s="8" t="s">
        <v>21</v>
      </c>
      <c r="C15" s="12">
        <f>SUM('Stavební rozpočet'!AC12:AC786)</f>
        <v>333950.93244</v>
      </c>
      <c r="D15" s="130" t="s">
        <v>25</v>
      </c>
      <c r="E15" s="131"/>
      <c r="F15" s="12">
        <v>0</v>
      </c>
      <c r="G15" s="130" t="s">
        <v>40</v>
      </c>
      <c r="H15" s="131"/>
      <c r="I15" s="12">
        <v>0</v>
      </c>
      <c r="J15" s="19"/>
    </row>
    <row r="16" spans="1:10" ht="15.2" customHeight="1" x14ac:dyDescent="0.2">
      <c r="A16" s="3" t="s">
        <v>8</v>
      </c>
      <c r="B16" s="8" t="s">
        <v>20</v>
      </c>
      <c r="C16" s="12">
        <f>SUM('Stavební rozpočet'!AD12:AD786)</f>
        <v>1062309</v>
      </c>
      <c r="D16" s="130" t="s">
        <v>26</v>
      </c>
      <c r="E16" s="131"/>
      <c r="F16" s="12">
        <v>0</v>
      </c>
      <c r="G16" s="130" t="s">
        <v>41</v>
      </c>
      <c r="H16" s="131"/>
      <c r="I16" s="12">
        <v>0</v>
      </c>
      <c r="J16" s="19"/>
    </row>
    <row r="17" spans="1:10" ht="15.2" customHeight="1" x14ac:dyDescent="0.2">
      <c r="A17" s="4"/>
      <c r="B17" s="8" t="s">
        <v>21</v>
      </c>
      <c r="C17" s="12">
        <f>SUM('Stavební rozpočet'!AE12:AE786)</f>
        <v>298084.2</v>
      </c>
      <c r="D17" s="130"/>
      <c r="E17" s="131"/>
      <c r="F17" s="13"/>
      <c r="G17" s="130" t="s">
        <v>42</v>
      </c>
      <c r="H17" s="131"/>
      <c r="I17" s="12">
        <v>0</v>
      </c>
      <c r="J17" s="19"/>
    </row>
    <row r="18" spans="1:10" ht="15.2" customHeight="1" x14ac:dyDescent="0.2">
      <c r="A18" s="3" t="s">
        <v>9</v>
      </c>
      <c r="B18" s="8" t="s">
        <v>20</v>
      </c>
      <c r="C18" s="12">
        <f>SUM('Stavební rozpočet'!AF12:AF786)</f>
        <v>0</v>
      </c>
      <c r="D18" s="130"/>
      <c r="E18" s="131"/>
      <c r="F18" s="13"/>
      <c r="G18" s="130" t="s">
        <v>43</v>
      </c>
      <c r="H18" s="131"/>
      <c r="I18" s="12">
        <v>0</v>
      </c>
      <c r="J18" s="19"/>
    </row>
    <row r="19" spans="1:10" ht="15.2" customHeight="1" x14ac:dyDescent="0.2">
      <c r="A19" s="4"/>
      <c r="B19" s="8" t="s">
        <v>21</v>
      </c>
      <c r="C19" s="12">
        <f>SUM('Stavební rozpočet'!AG12:AG786)</f>
        <v>16891.239999999998</v>
      </c>
      <c r="D19" s="130"/>
      <c r="E19" s="131"/>
      <c r="F19" s="13"/>
      <c r="G19" s="130" t="s">
        <v>44</v>
      </c>
      <c r="H19" s="131"/>
      <c r="I19" s="12">
        <v>0</v>
      </c>
      <c r="J19" s="19"/>
    </row>
    <row r="20" spans="1:10" ht="15.2" customHeight="1" x14ac:dyDescent="0.2">
      <c r="A20" s="132" t="s">
        <v>10</v>
      </c>
      <c r="B20" s="133"/>
      <c r="C20" s="12">
        <f>SUM('Stavební rozpočet'!AH12:AH786)</f>
        <v>0</v>
      </c>
      <c r="D20" s="130"/>
      <c r="E20" s="131"/>
      <c r="F20" s="13"/>
      <c r="G20" s="130"/>
      <c r="H20" s="131"/>
      <c r="I20" s="13"/>
      <c r="J20" s="19"/>
    </row>
    <row r="21" spans="1:10" ht="15.2" customHeight="1" x14ac:dyDescent="0.2">
      <c r="A21" s="132" t="s">
        <v>11</v>
      </c>
      <c r="B21" s="133"/>
      <c r="C21" s="12">
        <f>SUM('Stavební rozpočet'!Z12:Z786)</f>
        <v>9623.8389599999991</v>
      </c>
      <c r="D21" s="130"/>
      <c r="E21" s="131"/>
      <c r="F21" s="13"/>
      <c r="G21" s="130"/>
      <c r="H21" s="131"/>
      <c r="I21" s="13"/>
      <c r="J21" s="19"/>
    </row>
    <row r="22" spans="1:10" ht="16.7" customHeight="1" x14ac:dyDescent="0.2">
      <c r="A22" s="132" t="s">
        <v>12</v>
      </c>
      <c r="B22" s="133"/>
      <c r="C22" s="12">
        <f>SUM(C14:C21)</f>
        <v>1738867.2114000001</v>
      </c>
      <c r="D22" s="132" t="s">
        <v>27</v>
      </c>
      <c r="E22" s="133"/>
      <c r="F22" s="12">
        <f>SUM(F14:F21)</f>
        <v>0</v>
      </c>
      <c r="G22" s="132" t="s">
        <v>45</v>
      </c>
      <c r="H22" s="133"/>
      <c r="I22" s="12">
        <f>SUM(I14:I21)</f>
        <v>0</v>
      </c>
      <c r="J22" s="19"/>
    </row>
    <row r="23" spans="1:10" ht="15.2" customHeight="1" x14ac:dyDescent="0.2">
      <c r="A23" s="5"/>
      <c r="B23" s="5"/>
      <c r="C23" s="10"/>
      <c r="D23" s="132" t="s">
        <v>28</v>
      </c>
      <c r="E23" s="133"/>
      <c r="F23" s="14">
        <v>0</v>
      </c>
      <c r="G23" s="132" t="s">
        <v>46</v>
      </c>
      <c r="H23" s="133"/>
      <c r="I23" s="12">
        <v>0</v>
      </c>
      <c r="J23" s="19"/>
    </row>
    <row r="24" spans="1:10" ht="15.2" customHeight="1" x14ac:dyDescent="0.2">
      <c r="D24" s="5"/>
      <c r="E24" s="5"/>
      <c r="F24" s="15"/>
      <c r="G24" s="132" t="s">
        <v>47</v>
      </c>
      <c r="H24" s="133"/>
      <c r="I24" s="18"/>
    </row>
    <row r="25" spans="1:10" ht="15.2" customHeight="1" x14ac:dyDescent="0.2">
      <c r="F25" s="16"/>
      <c r="G25" s="132" t="s">
        <v>48</v>
      </c>
      <c r="H25" s="133"/>
      <c r="I25" s="12">
        <v>0</v>
      </c>
      <c r="J25" s="19"/>
    </row>
    <row r="26" spans="1:10" x14ac:dyDescent="0.2">
      <c r="A26" s="1"/>
      <c r="B26" s="1"/>
      <c r="C26" s="1"/>
      <c r="G26" s="5"/>
      <c r="H26" s="5"/>
      <c r="I26" s="5"/>
    </row>
    <row r="27" spans="1:10" ht="15.2" customHeight="1" x14ac:dyDescent="0.2">
      <c r="A27" s="134" t="s">
        <v>13</v>
      </c>
      <c r="B27" s="135"/>
      <c r="C27" s="21">
        <f>SUM('Stavební rozpočet'!AJ12:AJ786)</f>
        <v>0</v>
      </c>
      <c r="D27" s="11"/>
      <c r="E27" s="1"/>
      <c r="F27" s="1"/>
      <c r="G27" s="1"/>
      <c r="H27" s="1"/>
      <c r="I27" s="1"/>
    </row>
    <row r="28" spans="1:10" ht="15.2" customHeight="1" x14ac:dyDescent="0.2">
      <c r="A28" s="134" t="s">
        <v>14</v>
      </c>
      <c r="B28" s="135"/>
      <c r="C28" s="21">
        <f>SUM('Stavební rozpočet'!AK12:AK786)</f>
        <v>0</v>
      </c>
      <c r="D28" s="134" t="s">
        <v>29</v>
      </c>
      <c r="E28" s="135"/>
      <c r="F28" s="21">
        <f>ROUND(C28*(15/100),2)</f>
        <v>0</v>
      </c>
      <c r="G28" s="134" t="s">
        <v>49</v>
      </c>
      <c r="H28" s="135"/>
      <c r="I28" s="21">
        <f>SUM(C27:C29)</f>
        <v>1738867.2113999997</v>
      </c>
      <c r="J28" s="19"/>
    </row>
    <row r="29" spans="1:10" ht="15.2" customHeight="1" x14ac:dyDescent="0.2">
      <c r="A29" s="134" t="s">
        <v>15</v>
      </c>
      <c r="B29" s="135"/>
      <c r="C29" s="21">
        <f>SUM('Stavební rozpočet'!AL12:AL786)+(F22+I22+F23+I23+I24+I25)</f>
        <v>1738867.2113999997</v>
      </c>
      <c r="D29" s="134" t="s">
        <v>30</v>
      </c>
      <c r="E29" s="135"/>
      <c r="F29" s="21">
        <f>ROUND(C29*(21/100),2)</f>
        <v>365162.11</v>
      </c>
      <c r="G29" s="134" t="s">
        <v>50</v>
      </c>
      <c r="H29" s="135"/>
      <c r="I29" s="21">
        <f>SUM(F28:F29)+I28</f>
        <v>2104029.3213999998</v>
      </c>
      <c r="J29" s="19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</row>
    <row r="31" spans="1:10" ht="14.45" customHeight="1" x14ac:dyDescent="0.2">
      <c r="A31" s="136" t="s">
        <v>16</v>
      </c>
      <c r="B31" s="137"/>
      <c r="C31" s="138"/>
      <c r="D31" s="136" t="s">
        <v>31</v>
      </c>
      <c r="E31" s="137"/>
      <c r="F31" s="138"/>
      <c r="G31" s="136" t="s">
        <v>51</v>
      </c>
      <c r="H31" s="137"/>
      <c r="I31" s="138"/>
      <c r="J31" s="20"/>
    </row>
    <row r="32" spans="1:10" ht="14.45" customHeight="1" x14ac:dyDescent="0.2">
      <c r="A32" s="139"/>
      <c r="B32" s="140"/>
      <c r="C32" s="141"/>
      <c r="D32" s="139"/>
      <c r="E32" s="140"/>
      <c r="F32" s="141"/>
      <c r="G32" s="139"/>
      <c r="H32" s="140"/>
      <c r="I32" s="141"/>
      <c r="J32" s="20"/>
    </row>
    <row r="33" spans="1:10" ht="14.45" customHeight="1" x14ac:dyDescent="0.2">
      <c r="A33" s="139"/>
      <c r="B33" s="140"/>
      <c r="C33" s="141"/>
      <c r="D33" s="139"/>
      <c r="E33" s="140"/>
      <c r="F33" s="141"/>
      <c r="G33" s="139"/>
      <c r="H33" s="140"/>
      <c r="I33" s="141"/>
      <c r="J33" s="20"/>
    </row>
    <row r="34" spans="1:10" ht="14.45" customHeight="1" x14ac:dyDescent="0.2">
      <c r="A34" s="139"/>
      <c r="B34" s="140"/>
      <c r="C34" s="141"/>
      <c r="D34" s="139"/>
      <c r="E34" s="140"/>
      <c r="F34" s="141"/>
      <c r="G34" s="139"/>
      <c r="H34" s="140"/>
      <c r="I34" s="141"/>
      <c r="J34" s="20"/>
    </row>
    <row r="35" spans="1:10" ht="14.45" customHeight="1" x14ac:dyDescent="0.2">
      <c r="A35" s="142" t="s">
        <v>17</v>
      </c>
      <c r="B35" s="143"/>
      <c r="C35" s="144"/>
      <c r="D35" s="142" t="s">
        <v>17</v>
      </c>
      <c r="E35" s="143"/>
      <c r="F35" s="144"/>
      <c r="G35" s="142" t="s">
        <v>17</v>
      </c>
      <c r="H35" s="143"/>
      <c r="I35" s="144"/>
      <c r="J35" s="20"/>
    </row>
    <row r="36" spans="1:10" ht="11.25" customHeight="1" x14ac:dyDescent="0.2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10" x14ac:dyDescent="0.2">
      <c r="A37" s="120"/>
      <c r="B37" s="111"/>
      <c r="C37" s="111"/>
      <c r="D37" s="111"/>
      <c r="E37" s="111"/>
      <c r="F37" s="111"/>
      <c r="G37" s="111"/>
      <c r="H37" s="111"/>
      <c r="I37" s="111"/>
    </row>
  </sheetData>
  <sheetProtection sheet="1" objects="1" scenarios="1"/>
  <mergeCells count="83"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  <mergeCell ref="A31:C31"/>
    <mergeCell ref="D31:F31"/>
    <mergeCell ref="G31:I31"/>
    <mergeCell ref="A32:C32"/>
    <mergeCell ref="D32:F32"/>
    <mergeCell ref="G32:I32"/>
    <mergeCell ref="A28:B28"/>
    <mergeCell ref="D28:E28"/>
    <mergeCell ref="G28:H28"/>
    <mergeCell ref="A29:B29"/>
    <mergeCell ref="D29:E29"/>
    <mergeCell ref="G29:H29"/>
    <mergeCell ref="D23:E23"/>
    <mergeCell ref="G23:H23"/>
    <mergeCell ref="G24:H24"/>
    <mergeCell ref="G25:H25"/>
    <mergeCell ref="A27:B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0"/>
  <sheetViews>
    <sheetView workbookViewId="0">
      <pane ySplit="11" topLeftCell="A12" activePane="bottomLeft" state="frozenSplit"/>
      <selection pane="bottomLeft" sqref="A1:L1"/>
    </sheetView>
  </sheetViews>
  <sheetFormatPr defaultColWidth="11.5703125" defaultRowHeight="12.75" x14ac:dyDescent="0.2"/>
  <cols>
    <col min="1" max="1" width="7.5703125" customWidth="1"/>
    <col min="2" max="9" width="15.7109375" customWidth="1"/>
    <col min="10" max="12" width="14.28515625" customWidth="1"/>
    <col min="13" max="16" width="12.140625" hidden="1" customWidth="1"/>
  </cols>
  <sheetData>
    <row r="1" spans="1:16" ht="72.95" customHeight="1" x14ac:dyDescent="0.35">
      <c r="A1" s="145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6" x14ac:dyDescent="0.2">
      <c r="A2" s="108" t="s">
        <v>0</v>
      </c>
      <c r="B2" s="109"/>
      <c r="C2" s="109"/>
      <c r="D2" s="112" t="str">
        <f>'Stavební rozpočet'!D2</f>
        <v>Snížení energetické náročnosti MŠ Hrabinská Český Těšín</v>
      </c>
      <c r="E2" s="113"/>
      <c r="F2" s="113"/>
      <c r="G2" s="115" t="s">
        <v>75</v>
      </c>
      <c r="H2" s="115" t="str">
        <f>'Stavební rozpočet'!G2</f>
        <v xml:space="preserve"> </v>
      </c>
      <c r="I2" s="115" t="s">
        <v>32</v>
      </c>
      <c r="J2" s="115" t="str">
        <f>'Stavební rozpočet'!J2</f>
        <v>Město Český Těšín</v>
      </c>
      <c r="K2" s="109"/>
      <c r="L2" s="146"/>
      <c r="M2" s="19"/>
    </row>
    <row r="3" spans="1:16" ht="51.4" customHeight="1" x14ac:dyDescent="0.2">
      <c r="A3" s="110"/>
      <c r="B3" s="111"/>
      <c r="C3" s="111"/>
      <c r="D3" s="114"/>
      <c r="E3" s="114"/>
      <c r="F3" s="114"/>
      <c r="G3" s="111"/>
      <c r="H3" s="111"/>
      <c r="I3" s="111"/>
      <c r="J3" s="111"/>
      <c r="K3" s="111"/>
      <c r="L3" s="117"/>
      <c r="M3" s="19"/>
    </row>
    <row r="4" spans="1:16" x14ac:dyDescent="0.2">
      <c r="A4" s="119" t="s">
        <v>1</v>
      </c>
      <c r="B4" s="111"/>
      <c r="C4" s="111"/>
      <c r="D4" s="120" t="str">
        <f>'Stavební rozpočet'!D4</f>
        <v>Rekuperace</v>
      </c>
      <c r="E4" s="111"/>
      <c r="F4" s="111"/>
      <c r="G4" s="120" t="s">
        <v>3</v>
      </c>
      <c r="H4" s="120" t="str">
        <f>'Stavební rozpočet'!G4</f>
        <v xml:space="preserve"> </v>
      </c>
      <c r="I4" s="120" t="s">
        <v>33</v>
      </c>
      <c r="J4" s="120" t="str">
        <f>'Stavební rozpočet'!J4</f>
        <v>C.E.I.S. CZ s.r.o.</v>
      </c>
      <c r="K4" s="111"/>
      <c r="L4" s="117"/>
      <c r="M4" s="19"/>
    </row>
    <row r="5" spans="1:16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7"/>
      <c r="M5" s="19"/>
    </row>
    <row r="6" spans="1:16" x14ac:dyDescent="0.2">
      <c r="A6" s="119" t="s">
        <v>2</v>
      </c>
      <c r="B6" s="111"/>
      <c r="C6" s="111"/>
      <c r="D6" s="120" t="str">
        <f>'Stavební rozpočet'!D6</f>
        <v>Hrabinská 1016/51, Český Těšín</v>
      </c>
      <c r="E6" s="111"/>
      <c r="F6" s="111"/>
      <c r="G6" s="120" t="s">
        <v>35</v>
      </c>
      <c r="H6" s="120" t="str">
        <f>'Stavební rozpočet'!G6</f>
        <v xml:space="preserve"> </v>
      </c>
      <c r="I6" s="120" t="s">
        <v>34</v>
      </c>
      <c r="J6" s="120" t="str">
        <f>'Stavební rozpočet'!J6</f>
        <v> </v>
      </c>
      <c r="K6" s="111"/>
      <c r="L6" s="117"/>
      <c r="M6" s="19"/>
    </row>
    <row r="7" spans="1:16" ht="25.7" customHeight="1" x14ac:dyDescent="0.2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7"/>
      <c r="M7" s="19"/>
    </row>
    <row r="8" spans="1:16" x14ac:dyDescent="0.2">
      <c r="A8" s="119" t="s">
        <v>4</v>
      </c>
      <c r="B8" s="111"/>
      <c r="C8" s="111"/>
      <c r="D8" s="120">
        <f>'Stavební rozpočet'!D8</f>
        <v>8013112</v>
      </c>
      <c r="E8" s="111"/>
      <c r="F8" s="111"/>
      <c r="G8" s="120" t="s">
        <v>76</v>
      </c>
      <c r="H8" s="120" t="str">
        <f>'Stavební rozpočet'!G8</f>
        <v>20.12.2019</v>
      </c>
      <c r="I8" s="120" t="s">
        <v>36</v>
      </c>
      <c r="J8" s="120" t="str">
        <f>'Stavební rozpočet'!J8</f>
        <v>Blažek</v>
      </c>
      <c r="K8" s="111"/>
      <c r="L8" s="117"/>
      <c r="M8" s="19"/>
    </row>
    <row r="9" spans="1:16" x14ac:dyDescent="0.2">
      <c r="A9" s="14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8"/>
      <c r="M9" s="19"/>
    </row>
    <row r="10" spans="1:16" x14ac:dyDescent="0.2">
      <c r="A10" s="22" t="s">
        <v>60</v>
      </c>
      <c r="B10" s="160" t="s">
        <v>60</v>
      </c>
      <c r="C10" s="159"/>
      <c r="D10" s="159"/>
      <c r="E10" s="159"/>
      <c r="F10" s="159"/>
      <c r="G10" s="159"/>
      <c r="H10" s="159"/>
      <c r="I10" s="161"/>
      <c r="J10" s="152" t="s">
        <v>77</v>
      </c>
      <c r="K10" s="153"/>
      <c r="L10" s="154"/>
      <c r="M10" s="20"/>
    </row>
    <row r="11" spans="1:16" x14ac:dyDescent="0.2">
      <c r="A11" s="23" t="s">
        <v>61</v>
      </c>
      <c r="B11" s="155" t="s">
        <v>68</v>
      </c>
      <c r="C11" s="156"/>
      <c r="D11" s="156"/>
      <c r="E11" s="156"/>
      <c r="F11" s="156"/>
      <c r="G11" s="156"/>
      <c r="H11" s="156"/>
      <c r="I11" s="157"/>
      <c r="J11" s="30" t="s">
        <v>78</v>
      </c>
      <c r="K11" s="31" t="s">
        <v>21</v>
      </c>
      <c r="L11" s="32" t="s">
        <v>80</v>
      </c>
      <c r="M11" s="20"/>
    </row>
    <row r="12" spans="1:16" x14ac:dyDescent="0.2">
      <c r="A12" s="24" t="s">
        <v>62</v>
      </c>
      <c r="B12" s="158" t="s">
        <v>69</v>
      </c>
      <c r="C12" s="159"/>
      <c r="D12" s="159"/>
      <c r="E12" s="159"/>
      <c r="F12" s="159"/>
      <c r="G12" s="159"/>
      <c r="H12" s="159"/>
      <c r="I12" s="159"/>
      <c r="J12" s="34">
        <f>'Stavební rozpočet'!J12</f>
        <v>0</v>
      </c>
      <c r="K12" s="34">
        <f>'Stavební rozpočet'!K12</f>
        <v>275060.77139999997</v>
      </c>
      <c r="L12" s="37">
        <f>'Stavební rozpočet'!L12</f>
        <v>275060.77139999997</v>
      </c>
      <c r="M12" s="33" t="s">
        <v>81</v>
      </c>
      <c r="N12" s="35">
        <f t="shared" ref="N12:N17" si="0">IF(M12="F",0,L12)</f>
        <v>0</v>
      </c>
      <c r="O12" s="17" t="s">
        <v>62</v>
      </c>
      <c r="P12" s="35">
        <f t="shared" ref="P12:P17" si="1">IF(M12="T",0,L12)</f>
        <v>275060.77139999997</v>
      </c>
    </row>
    <row r="13" spans="1:16" x14ac:dyDescent="0.2">
      <c r="A13" s="25" t="s">
        <v>63</v>
      </c>
      <c r="B13" s="123" t="s">
        <v>70</v>
      </c>
      <c r="C13" s="111"/>
      <c r="D13" s="111"/>
      <c r="E13" s="111"/>
      <c r="F13" s="111"/>
      <c r="G13" s="111"/>
      <c r="H13" s="111"/>
      <c r="I13" s="111"/>
      <c r="J13" s="35">
        <f>'Stavební rozpočet'!J63</f>
        <v>269425</v>
      </c>
      <c r="K13" s="35">
        <f>'Stavební rozpočet'!K63</f>
        <v>88348.05</v>
      </c>
      <c r="L13" s="38">
        <f>'Stavební rozpočet'!L63</f>
        <v>357773.05000000005</v>
      </c>
      <c r="M13" s="33" t="s">
        <v>81</v>
      </c>
      <c r="N13" s="35">
        <f t="shared" si="0"/>
        <v>0</v>
      </c>
      <c r="O13" s="17" t="s">
        <v>63</v>
      </c>
      <c r="P13" s="35">
        <f t="shared" si="1"/>
        <v>357773.05000000005</v>
      </c>
    </row>
    <row r="14" spans="1:16" x14ac:dyDescent="0.2">
      <c r="A14" s="25" t="s">
        <v>64</v>
      </c>
      <c r="B14" s="123" t="s">
        <v>71</v>
      </c>
      <c r="C14" s="111"/>
      <c r="D14" s="111"/>
      <c r="E14" s="111"/>
      <c r="F14" s="111"/>
      <c r="G14" s="111"/>
      <c r="H14" s="111"/>
      <c r="I14" s="111"/>
      <c r="J14" s="35">
        <f>'Stavební rozpočet'!J238</f>
        <v>267415</v>
      </c>
      <c r="K14" s="35">
        <f>'Stavební rozpočet'!K238</f>
        <v>90358.05</v>
      </c>
      <c r="L14" s="38">
        <f>'Stavební rozpočet'!L238</f>
        <v>357773.05000000005</v>
      </c>
      <c r="M14" s="33" t="s">
        <v>81</v>
      </c>
      <c r="N14" s="35">
        <f t="shared" si="0"/>
        <v>0</v>
      </c>
      <c r="O14" s="17" t="s">
        <v>64</v>
      </c>
      <c r="P14" s="35">
        <f t="shared" si="1"/>
        <v>357773.05000000005</v>
      </c>
    </row>
    <row r="15" spans="1:16" x14ac:dyDescent="0.2">
      <c r="A15" s="25" t="s">
        <v>65</v>
      </c>
      <c r="B15" s="123" t="s">
        <v>72</v>
      </c>
      <c r="C15" s="111"/>
      <c r="D15" s="111"/>
      <c r="E15" s="111"/>
      <c r="F15" s="111"/>
      <c r="G15" s="111"/>
      <c r="H15" s="111"/>
      <c r="I15" s="111"/>
      <c r="J15" s="35">
        <f>'Stavební rozpočet'!J413</f>
        <v>256418</v>
      </c>
      <c r="K15" s="35">
        <f>'Stavební rozpočet'!K413</f>
        <v>93268.05</v>
      </c>
      <c r="L15" s="38">
        <f>'Stavební rozpočet'!L413</f>
        <v>349686.05</v>
      </c>
      <c r="M15" s="33" t="s">
        <v>81</v>
      </c>
      <c r="N15" s="35">
        <f t="shared" si="0"/>
        <v>0</v>
      </c>
      <c r="O15" s="17" t="s">
        <v>65</v>
      </c>
      <c r="P15" s="35">
        <f t="shared" si="1"/>
        <v>349686.05</v>
      </c>
    </row>
    <row r="16" spans="1:16" x14ac:dyDescent="0.2">
      <c r="A16" s="25" t="s">
        <v>66</v>
      </c>
      <c r="B16" s="123" t="s">
        <v>73</v>
      </c>
      <c r="C16" s="111"/>
      <c r="D16" s="111"/>
      <c r="E16" s="111"/>
      <c r="F16" s="111"/>
      <c r="G16" s="111"/>
      <c r="H16" s="111"/>
      <c r="I16" s="111"/>
      <c r="J16" s="35">
        <f>'Stavební rozpočet'!J588</f>
        <v>269051</v>
      </c>
      <c r="K16" s="35">
        <f>'Stavební rozpočet'!K588</f>
        <v>88348.05</v>
      </c>
      <c r="L16" s="38">
        <f>'Stavební rozpočet'!L588</f>
        <v>357399.05000000005</v>
      </c>
      <c r="M16" s="33" t="s">
        <v>81</v>
      </c>
      <c r="N16" s="35">
        <f t="shared" si="0"/>
        <v>0</v>
      </c>
      <c r="O16" s="17" t="s">
        <v>66</v>
      </c>
      <c r="P16" s="35">
        <f t="shared" si="1"/>
        <v>357399.05000000005</v>
      </c>
    </row>
    <row r="17" spans="1:16" x14ac:dyDescent="0.2">
      <c r="A17" s="26" t="s">
        <v>67</v>
      </c>
      <c r="B17" s="150" t="s">
        <v>74</v>
      </c>
      <c r="C17" s="122"/>
      <c r="D17" s="122"/>
      <c r="E17" s="122"/>
      <c r="F17" s="122"/>
      <c r="G17" s="122"/>
      <c r="H17" s="122"/>
      <c r="I17" s="122"/>
      <c r="J17" s="36">
        <f>'Stavební rozpočet'!J763</f>
        <v>18008</v>
      </c>
      <c r="K17" s="36">
        <f>'Stavební rozpočet'!K763</f>
        <v>23167.239999999998</v>
      </c>
      <c r="L17" s="39">
        <f>'Stavební rozpočet'!L763</f>
        <v>41175.24</v>
      </c>
      <c r="M17" s="33" t="s">
        <v>81</v>
      </c>
      <c r="N17" s="35">
        <f t="shared" si="0"/>
        <v>0</v>
      </c>
      <c r="O17" s="17" t="s">
        <v>67</v>
      </c>
      <c r="P17" s="35">
        <f t="shared" si="1"/>
        <v>41175.24</v>
      </c>
    </row>
    <row r="18" spans="1:16" x14ac:dyDescent="0.2">
      <c r="A18" s="5"/>
      <c r="B18" s="5"/>
      <c r="C18" s="5"/>
      <c r="D18" s="5"/>
      <c r="E18" s="5"/>
      <c r="F18" s="5"/>
      <c r="G18" s="5"/>
      <c r="H18" s="5"/>
      <c r="I18" s="5"/>
      <c r="J18" s="151" t="s">
        <v>79</v>
      </c>
      <c r="K18" s="113"/>
      <c r="L18" s="40">
        <f>SUM(P12:P17)</f>
        <v>1738867.2114000001</v>
      </c>
    </row>
    <row r="19" spans="1:16" ht="11.25" customHeight="1" x14ac:dyDescent="0.2">
      <c r="A19" s="27" t="s">
        <v>18</v>
      </c>
    </row>
    <row r="20" spans="1:16" x14ac:dyDescent="0.2">
      <c r="A20" s="12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</sheetData>
  <sheetProtection sheet="1" objects="1" scenarios="1"/>
  <mergeCells count="36">
    <mergeCell ref="A20:L20"/>
    <mergeCell ref="B14:I14"/>
    <mergeCell ref="J10:L10"/>
    <mergeCell ref="B11:I11"/>
    <mergeCell ref="B12:I12"/>
    <mergeCell ref="B13:I13"/>
    <mergeCell ref="B15:I15"/>
    <mergeCell ref="B10:I10"/>
    <mergeCell ref="H8:H9"/>
    <mergeCell ref="I8:I9"/>
    <mergeCell ref="B16:I16"/>
    <mergeCell ref="B17:I17"/>
    <mergeCell ref="J18:K18"/>
    <mergeCell ref="J4:L5"/>
    <mergeCell ref="J8:L9"/>
    <mergeCell ref="A6:C7"/>
    <mergeCell ref="D6:F7"/>
    <mergeCell ref="G6:G7"/>
    <mergeCell ref="H6:H7"/>
    <mergeCell ref="I6:I7"/>
    <mergeCell ref="J6:L7"/>
    <mergeCell ref="A4:C5"/>
    <mergeCell ref="D4:F5"/>
    <mergeCell ref="G4:G5"/>
    <mergeCell ref="H4:H5"/>
    <mergeCell ref="I4:I5"/>
    <mergeCell ref="A8:C9"/>
    <mergeCell ref="D8:F9"/>
    <mergeCell ref="G8:G9"/>
    <mergeCell ref="A1:L1"/>
    <mergeCell ref="A2:C3"/>
    <mergeCell ref="D2:F3"/>
    <mergeCell ref="G2:G3"/>
    <mergeCell ref="H2:H3"/>
    <mergeCell ref="I2:I3"/>
    <mergeCell ref="J2:L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6"/>
  <sheetViews>
    <sheetView workbookViewId="0">
      <pane ySplit="11" topLeftCell="A12" activePane="bottomLeft" state="frozenSplit"/>
      <selection pane="bottomLeft" sqref="A1:L1"/>
    </sheetView>
  </sheetViews>
  <sheetFormatPr defaultColWidth="11.5703125" defaultRowHeight="12.75" x14ac:dyDescent="0.2"/>
  <cols>
    <col min="1" max="1" width="7.5703125" customWidth="1"/>
    <col min="2" max="2" width="5.7109375" customWidth="1"/>
    <col min="3" max="9" width="15.7109375" customWidth="1"/>
    <col min="10" max="12" width="14.28515625" customWidth="1"/>
    <col min="13" max="16" width="12.140625" hidden="1" customWidth="1"/>
  </cols>
  <sheetData>
    <row r="1" spans="1:16" ht="72.95" customHeight="1" x14ac:dyDescent="0.35">
      <c r="A1" s="145" t="s">
        <v>82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6" x14ac:dyDescent="0.2">
      <c r="A2" s="108" t="s">
        <v>0</v>
      </c>
      <c r="B2" s="109"/>
      <c r="C2" s="109"/>
      <c r="D2" s="112" t="str">
        <f>'Stavební rozpočet'!D2</f>
        <v>Snížení energetické náročnosti MŠ Hrabinská Český Těšín</v>
      </c>
      <c r="E2" s="113"/>
      <c r="F2" s="113"/>
      <c r="G2" s="115" t="s">
        <v>75</v>
      </c>
      <c r="H2" s="115" t="str">
        <f>'Stavební rozpočet'!G2</f>
        <v xml:space="preserve"> </v>
      </c>
      <c r="I2" s="115" t="s">
        <v>32</v>
      </c>
      <c r="J2" s="115" t="str">
        <f>'Stavební rozpočet'!J2</f>
        <v>Město Český Těšín</v>
      </c>
      <c r="K2" s="109"/>
      <c r="L2" s="146"/>
      <c r="M2" s="19"/>
    </row>
    <row r="3" spans="1:16" ht="51.4" customHeight="1" x14ac:dyDescent="0.2">
      <c r="A3" s="110"/>
      <c r="B3" s="111"/>
      <c r="C3" s="111"/>
      <c r="D3" s="114"/>
      <c r="E3" s="114"/>
      <c r="F3" s="114"/>
      <c r="G3" s="111"/>
      <c r="H3" s="111"/>
      <c r="I3" s="111"/>
      <c r="J3" s="111"/>
      <c r="K3" s="111"/>
      <c r="L3" s="117"/>
      <c r="M3" s="19"/>
    </row>
    <row r="4" spans="1:16" x14ac:dyDescent="0.2">
      <c r="A4" s="119" t="s">
        <v>1</v>
      </c>
      <c r="B4" s="111"/>
      <c r="C4" s="111"/>
      <c r="D4" s="120" t="str">
        <f>'Stavební rozpočet'!D4</f>
        <v>Rekuperace</v>
      </c>
      <c r="E4" s="111"/>
      <c r="F4" s="111"/>
      <c r="G4" s="120" t="s">
        <v>3</v>
      </c>
      <c r="H4" s="120" t="str">
        <f>'Stavební rozpočet'!G4</f>
        <v xml:space="preserve"> </v>
      </c>
      <c r="I4" s="120" t="s">
        <v>33</v>
      </c>
      <c r="J4" s="120" t="str">
        <f>'Stavební rozpočet'!J4</f>
        <v>C.E.I.S. CZ s.r.o.</v>
      </c>
      <c r="K4" s="111"/>
      <c r="L4" s="117"/>
      <c r="M4" s="19"/>
    </row>
    <row r="5" spans="1:16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7"/>
      <c r="M5" s="19"/>
    </row>
    <row r="6" spans="1:16" x14ac:dyDescent="0.2">
      <c r="A6" s="119" t="s">
        <v>2</v>
      </c>
      <c r="B6" s="111"/>
      <c r="C6" s="111"/>
      <c r="D6" s="120" t="str">
        <f>'Stavební rozpočet'!D6</f>
        <v>Hrabinská 1016/51, Český Těšín</v>
      </c>
      <c r="E6" s="111"/>
      <c r="F6" s="111"/>
      <c r="G6" s="120" t="s">
        <v>35</v>
      </c>
      <c r="H6" s="120" t="str">
        <f>'Stavební rozpočet'!G6</f>
        <v xml:space="preserve"> </v>
      </c>
      <c r="I6" s="120" t="s">
        <v>34</v>
      </c>
      <c r="J6" s="120" t="str">
        <f>'Stavební rozpočet'!J6</f>
        <v> </v>
      </c>
      <c r="K6" s="111"/>
      <c r="L6" s="117"/>
      <c r="M6" s="19"/>
    </row>
    <row r="7" spans="1:16" ht="25.7" customHeight="1" x14ac:dyDescent="0.2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7"/>
      <c r="M7" s="19"/>
    </row>
    <row r="8" spans="1:16" x14ac:dyDescent="0.2">
      <c r="A8" s="119" t="s">
        <v>4</v>
      </c>
      <c r="B8" s="111"/>
      <c r="C8" s="111"/>
      <c r="D8" s="120">
        <f>'Stavební rozpočet'!D8</f>
        <v>8013112</v>
      </c>
      <c r="E8" s="111"/>
      <c r="F8" s="111"/>
      <c r="G8" s="120" t="s">
        <v>76</v>
      </c>
      <c r="H8" s="120" t="str">
        <f>'Stavební rozpočet'!G8</f>
        <v>20.12.2019</v>
      </c>
      <c r="I8" s="120" t="s">
        <v>36</v>
      </c>
      <c r="J8" s="120" t="str">
        <f>'Stavební rozpočet'!J8</f>
        <v>Blažek</v>
      </c>
      <c r="K8" s="111"/>
      <c r="L8" s="117"/>
      <c r="M8" s="19"/>
    </row>
    <row r="9" spans="1:16" x14ac:dyDescent="0.2">
      <c r="A9" s="14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8"/>
      <c r="M9" s="19"/>
    </row>
    <row r="10" spans="1:16" x14ac:dyDescent="0.2">
      <c r="A10" s="22" t="s">
        <v>60</v>
      </c>
      <c r="B10" s="41" t="s">
        <v>60</v>
      </c>
      <c r="C10" s="160" t="s">
        <v>60</v>
      </c>
      <c r="D10" s="159"/>
      <c r="E10" s="159"/>
      <c r="F10" s="159"/>
      <c r="G10" s="159"/>
      <c r="H10" s="159"/>
      <c r="I10" s="161"/>
      <c r="J10" s="152" t="s">
        <v>77</v>
      </c>
      <c r="K10" s="153"/>
      <c r="L10" s="154"/>
      <c r="M10" s="20"/>
    </row>
    <row r="11" spans="1:16" x14ac:dyDescent="0.2">
      <c r="A11" s="23" t="s">
        <v>61</v>
      </c>
      <c r="B11" s="42" t="s">
        <v>83</v>
      </c>
      <c r="C11" s="155" t="s">
        <v>68</v>
      </c>
      <c r="D11" s="156"/>
      <c r="E11" s="156"/>
      <c r="F11" s="156"/>
      <c r="G11" s="156"/>
      <c r="H11" s="156"/>
      <c r="I11" s="157"/>
      <c r="J11" s="30" t="s">
        <v>78</v>
      </c>
      <c r="K11" s="31" t="s">
        <v>21</v>
      </c>
      <c r="L11" s="32" t="s">
        <v>80</v>
      </c>
      <c r="M11" s="20"/>
    </row>
    <row r="12" spans="1:16" x14ac:dyDescent="0.2">
      <c r="A12" s="24" t="s">
        <v>62</v>
      </c>
      <c r="B12" s="28"/>
      <c r="C12" s="158" t="s">
        <v>69</v>
      </c>
      <c r="D12" s="159"/>
      <c r="E12" s="159"/>
      <c r="F12" s="159"/>
      <c r="G12" s="159"/>
      <c r="H12" s="159"/>
      <c r="I12" s="159"/>
      <c r="J12" s="34">
        <f>'Stavební rozpočet'!J12</f>
        <v>0</v>
      </c>
      <c r="K12" s="34">
        <f>'Stavební rozpočet'!K12</f>
        <v>275060.77139999997</v>
      </c>
      <c r="L12" s="37">
        <f>'Stavební rozpočet'!L12</f>
        <v>275060.77139999997</v>
      </c>
      <c r="M12" s="33" t="s">
        <v>81</v>
      </c>
      <c r="N12" s="35">
        <f t="shared" ref="N12:N43" si="0">IF(M12="F",0,L12)</f>
        <v>0</v>
      </c>
      <c r="O12" s="17" t="s">
        <v>62</v>
      </c>
      <c r="P12" s="35">
        <f t="shared" ref="P12:P43" si="1">IF(M12="T",0,L12)</f>
        <v>275060.77139999997</v>
      </c>
    </row>
    <row r="13" spans="1:16" x14ac:dyDescent="0.2">
      <c r="A13" s="25" t="s">
        <v>62</v>
      </c>
      <c r="B13" s="17" t="s">
        <v>84</v>
      </c>
      <c r="C13" s="123" t="s">
        <v>92</v>
      </c>
      <c r="D13" s="111"/>
      <c r="E13" s="111"/>
      <c r="F13" s="111"/>
      <c r="G13" s="111"/>
      <c r="H13" s="111"/>
      <c r="I13" s="111"/>
      <c r="J13" s="35">
        <f>SUMIF('Stavební rozpočet'!AZ13:AZ786,"1140_3_",'Stavební rozpočet'!AW13:AW786)</f>
        <v>0</v>
      </c>
      <c r="K13" s="35">
        <f>SUMIF('Stavební rozpočet'!AZ13:AZ786,"1140_3_",'Stavební rozpočet'!AX13:AX786)</f>
        <v>12892.87686</v>
      </c>
      <c r="L13" s="38">
        <f>SUMIF('Stavební rozpočet'!AZ13:AZ786,"1140_3_",'Stavební rozpočet'!AV13:AV786)</f>
        <v>12892.87686</v>
      </c>
      <c r="M13" s="33" t="s">
        <v>100</v>
      </c>
      <c r="N13" s="35">
        <f t="shared" si="0"/>
        <v>12892.87686</v>
      </c>
      <c r="O13" s="17" t="s">
        <v>62</v>
      </c>
      <c r="P13" s="35">
        <f t="shared" si="1"/>
        <v>0</v>
      </c>
    </row>
    <row r="14" spans="1:16" x14ac:dyDescent="0.2">
      <c r="A14" s="25" t="s">
        <v>62</v>
      </c>
      <c r="B14" s="17" t="s">
        <v>85</v>
      </c>
      <c r="C14" s="123" t="s">
        <v>93</v>
      </c>
      <c r="D14" s="111"/>
      <c r="E14" s="111"/>
      <c r="F14" s="111"/>
      <c r="G14" s="111"/>
      <c r="H14" s="111"/>
      <c r="I14" s="111"/>
      <c r="J14" s="35">
        <f>SUMIF('Stavební rozpočet'!AZ13:AZ786,"1140_4_",'Stavební rozpočet'!AW13:AW786)</f>
        <v>0</v>
      </c>
      <c r="K14" s="35">
        <f>SUMIF('Stavební rozpočet'!AZ13:AZ786,"1140_4_",'Stavební rozpočet'!AX13:AX786)</f>
        <v>174145.10198000001</v>
      </c>
      <c r="L14" s="38">
        <f>SUMIF('Stavební rozpočet'!AZ13:AZ786,"1140_4_",'Stavební rozpočet'!AV13:AV786)</f>
        <v>174145.10198000001</v>
      </c>
      <c r="M14" s="33" t="s">
        <v>100</v>
      </c>
      <c r="N14" s="35">
        <f t="shared" si="0"/>
        <v>174145.10198000001</v>
      </c>
      <c r="O14" s="17" t="s">
        <v>62</v>
      </c>
      <c r="P14" s="35">
        <f t="shared" si="1"/>
        <v>0</v>
      </c>
    </row>
    <row r="15" spans="1:16" x14ac:dyDescent="0.2">
      <c r="A15" s="25" t="s">
        <v>62</v>
      </c>
      <c r="B15" s="17" t="s">
        <v>86</v>
      </c>
      <c r="C15" s="123" t="s">
        <v>94</v>
      </c>
      <c r="D15" s="111"/>
      <c r="E15" s="111"/>
      <c r="F15" s="111"/>
      <c r="G15" s="111"/>
      <c r="H15" s="111"/>
      <c r="I15" s="111"/>
      <c r="J15" s="35">
        <f>SUMIF('Stavební rozpočet'!AZ13:AZ786,"1140_6_",'Stavební rozpočet'!AW13:AW786)</f>
        <v>0</v>
      </c>
      <c r="K15" s="35">
        <f>SUMIF('Stavební rozpočet'!AZ13:AZ786,"1140_6_",'Stavební rozpočet'!AX13:AX786)</f>
        <v>12253.113600000001</v>
      </c>
      <c r="L15" s="38">
        <f>SUMIF('Stavební rozpočet'!AZ13:AZ786,"1140_6_",'Stavební rozpočet'!AV13:AV786)</f>
        <v>12253.113600000001</v>
      </c>
      <c r="M15" s="33" t="s">
        <v>100</v>
      </c>
      <c r="N15" s="35">
        <f t="shared" si="0"/>
        <v>12253.113600000001</v>
      </c>
      <c r="O15" s="17" t="s">
        <v>62</v>
      </c>
      <c r="P15" s="35">
        <f t="shared" si="1"/>
        <v>0</v>
      </c>
    </row>
    <row r="16" spans="1:16" x14ac:dyDescent="0.2">
      <c r="A16" s="25" t="s">
        <v>62</v>
      </c>
      <c r="B16" s="17" t="s">
        <v>87</v>
      </c>
      <c r="C16" s="123" t="s">
        <v>95</v>
      </c>
      <c r="D16" s="111"/>
      <c r="E16" s="111"/>
      <c r="F16" s="111"/>
      <c r="G16" s="111"/>
      <c r="H16" s="111"/>
      <c r="I16" s="111"/>
      <c r="J16" s="35">
        <f>SUMIF('Stavební rozpočet'!AZ13:AZ786,"1140_71_",'Stavební rozpočet'!AW13:AW786)</f>
        <v>0</v>
      </c>
      <c r="K16" s="35">
        <f>SUMIF('Stavební rozpočet'!AZ13:AZ786,"1140_71_",'Stavební rozpočet'!AX13:AX786)</f>
        <v>42928.5288</v>
      </c>
      <c r="L16" s="38">
        <f>SUMIF('Stavební rozpočet'!AZ13:AZ786,"1140_71_",'Stavební rozpočet'!AV13:AV786)</f>
        <v>42928.5288</v>
      </c>
      <c r="M16" s="33" t="s">
        <v>100</v>
      </c>
      <c r="N16" s="35">
        <f t="shared" si="0"/>
        <v>42928.5288</v>
      </c>
      <c r="O16" s="17" t="s">
        <v>62</v>
      </c>
      <c r="P16" s="35">
        <f t="shared" si="1"/>
        <v>0</v>
      </c>
    </row>
    <row r="17" spans="1:16" x14ac:dyDescent="0.2">
      <c r="A17" s="25" t="s">
        <v>62</v>
      </c>
      <c r="B17" s="17" t="s">
        <v>88</v>
      </c>
      <c r="C17" s="123" t="s">
        <v>96</v>
      </c>
      <c r="D17" s="111"/>
      <c r="E17" s="111"/>
      <c r="F17" s="111"/>
      <c r="G17" s="111"/>
      <c r="H17" s="111"/>
      <c r="I17" s="111"/>
      <c r="J17" s="35">
        <f>SUMIF('Stavební rozpočet'!AZ13:AZ786,"1140_9_",'Stavební rozpočet'!AW13:AW786)</f>
        <v>0</v>
      </c>
      <c r="K17" s="35">
        <f>SUMIF('Stavební rozpočet'!AZ13:AZ786,"1140_9_",'Stavební rozpočet'!AX13:AX786)</f>
        <v>32841.150160000005</v>
      </c>
      <c r="L17" s="38">
        <f>SUMIF('Stavební rozpočet'!AZ13:AZ786,"1140_9_",'Stavební rozpočet'!AV13:AV786)</f>
        <v>32841.150160000005</v>
      </c>
      <c r="M17" s="33" t="s">
        <v>100</v>
      </c>
      <c r="N17" s="35">
        <f t="shared" si="0"/>
        <v>32841.150160000005</v>
      </c>
      <c r="O17" s="17" t="s">
        <v>62</v>
      </c>
      <c r="P17" s="35">
        <f t="shared" si="1"/>
        <v>0</v>
      </c>
    </row>
    <row r="18" spans="1:16" x14ac:dyDescent="0.2">
      <c r="A18" s="25" t="s">
        <v>63</v>
      </c>
      <c r="B18" s="17"/>
      <c r="C18" s="123" t="s">
        <v>70</v>
      </c>
      <c r="D18" s="111"/>
      <c r="E18" s="111"/>
      <c r="F18" s="111"/>
      <c r="G18" s="111"/>
      <c r="H18" s="111"/>
      <c r="I18" s="111"/>
      <c r="J18" s="35">
        <f>'Stavební rozpočet'!J63</f>
        <v>269425</v>
      </c>
      <c r="K18" s="35">
        <f>'Stavební rozpočet'!K63</f>
        <v>88348.05</v>
      </c>
      <c r="L18" s="38">
        <f>'Stavební rozpočet'!L63</f>
        <v>357773.05000000005</v>
      </c>
      <c r="M18" s="33" t="s">
        <v>81</v>
      </c>
      <c r="N18" s="35">
        <f t="shared" si="0"/>
        <v>0</v>
      </c>
      <c r="O18" s="17" t="s">
        <v>63</v>
      </c>
      <c r="P18" s="35">
        <f t="shared" si="1"/>
        <v>357773.05000000005</v>
      </c>
    </row>
    <row r="19" spans="1:16" x14ac:dyDescent="0.2">
      <c r="A19" s="25" t="s">
        <v>63</v>
      </c>
      <c r="B19" s="17" t="s">
        <v>87</v>
      </c>
      <c r="C19" s="123" t="s">
        <v>95</v>
      </c>
      <c r="D19" s="111"/>
      <c r="E19" s="111"/>
      <c r="F19" s="111"/>
      <c r="G19" s="111"/>
      <c r="H19" s="111"/>
      <c r="I19" s="111"/>
      <c r="J19" s="35">
        <f>SUMIF('Stavební rozpočet'!AZ13:AZ786,"1421_71_",'Stavební rozpočet'!AW13:AW786)</f>
        <v>4060</v>
      </c>
      <c r="K19" s="35">
        <f>SUMIF('Stavební rozpočet'!AZ13:AZ786,"1421_71_",'Stavební rozpočet'!AX13:AX786)</f>
        <v>9713.9069999999992</v>
      </c>
      <c r="L19" s="38">
        <f>SUMIF('Stavební rozpočet'!AZ13:AZ786,"1421_71_",'Stavební rozpočet'!AV13:AV786)</f>
        <v>13773.906999999999</v>
      </c>
      <c r="M19" s="33" t="s">
        <v>100</v>
      </c>
      <c r="N19" s="35">
        <f t="shared" si="0"/>
        <v>13773.906999999999</v>
      </c>
      <c r="O19" s="17" t="s">
        <v>63</v>
      </c>
      <c r="P19" s="35">
        <f t="shared" si="1"/>
        <v>0</v>
      </c>
    </row>
    <row r="20" spans="1:16" x14ac:dyDescent="0.2">
      <c r="A20" s="25" t="s">
        <v>63</v>
      </c>
      <c r="B20" s="17" t="s">
        <v>89</v>
      </c>
      <c r="C20" s="123" t="s">
        <v>97</v>
      </c>
      <c r="D20" s="111"/>
      <c r="E20" s="111"/>
      <c r="F20" s="111"/>
      <c r="G20" s="111"/>
      <c r="H20" s="111"/>
      <c r="I20" s="111"/>
      <c r="J20" s="35">
        <f>SUMIF('Stavební rozpočet'!AZ13:AZ786,"1421_72_",'Stavební rozpočet'!AW13:AW786)</f>
        <v>1787</v>
      </c>
      <c r="K20" s="35">
        <f>SUMIF('Stavební rozpočet'!AZ13:AZ786,"1421_72_",'Stavební rozpočet'!AX13:AX786)</f>
        <v>4502.2209999999995</v>
      </c>
      <c r="L20" s="38">
        <f>SUMIF('Stavební rozpočet'!AZ13:AZ786,"1421_72_",'Stavební rozpočet'!AV13:AV786)</f>
        <v>6289.2209999999995</v>
      </c>
      <c r="M20" s="33" t="s">
        <v>100</v>
      </c>
      <c r="N20" s="35">
        <f t="shared" si="0"/>
        <v>6289.2209999999995</v>
      </c>
      <c r="O20" s="17" t="s">
        <v>63</v>
      </c>
      <c r="P20" s="35">
        <f t="shared" si="1"/>
        <v>0</v>
      </c>
    </row>
    <row r="21" spans="1:16" x14ac:dyDescent="0.2">
      <c r="A21" s="25" t="s">
        <v>63</v>
      </c>
      <c r="B21" s="17" t="s">
        <v>90</v>
      </c>
      <c r="C21" s="123" t="s">
        <v>98</v>
      </c>
      <c r="D21" s="111"/>
      <c r="E21" s="111"/>
      <c r="F21" s="111"/>
      <c r="G21" s="111"/>
      <c r="H21" s="111"/>
      <c r="I21" s="111"/>
      <c r="J21" s="35">
        <f>SUMIF('Stavební rozpočet'!AZ13:AZ786,"1421_74_",'Stavební rozpočet'!AW13:AW786)</f>
        <v>172565</v>
      </c>
      <c r="K21" s="35">
        <f>SUMIF('Stavební rozpočet'!AZ13:AZ786,"1421_74_",'Stavební rozpočet'!AX13:AX786)</f>
        <v>3846.92</v>
      </c>
      <c r="L21" s="38">
        <f>SUMIF('Stavební rozpočet'!AZ13:AZ786,"1421_74_",'Stavební rozpočet'!AV13:AV786)</f>
        <v>176411.92</v>
      </c>
      <c r="M21" s="33" t="s">
        <v>100</v>
      </c>
      <c r="N21" s="35">
        <f t="shared" si="0"/>
        <v>176411.92</v>
      </c>
      <c r="O21" s="17" t="s">
        <v>63</v>
      </c>
      <c r="P21" s="35">
        <f t="shared" si="1"/>
        <v>0</v>
      </c>
    </row>
    <row r="22" spans="1:16" x14ac:dyDescent="0.2">
      <c r="A22" s="25" t="s">
        <v>63</v>
      </c>
      <c r="B22" s="17" t="s">
        <v>91</v>
      </c>
      <c r="C22" s="123" t="s">
        <v>99</v>
      </c>
      <c r="D22" s="111"/>
      <c r="E22" s="111"/>
      <c r="F22" s="111"/>
      <c r="G22" s="111"/>
      <c r="H22" s="111"/>
      <c r="I22" s="111"/>
      <c r="J22" s="35">
        <f>SUMIF('Stavební rozpočet'!AZ13:AZ786,"1421_75_",'Stavební rozpočet'!AW13:AW786)</f>
        <v>91013</v>
      </c>
      <c r="K22" s="35">
        <f>SUMIF('Stavební rozpočet'!AZ13:AZ786,"1421_75_",'Stavební rozpočet'!AX13:AX786)</f>
        <v>44035.002</v>
      </c>
      <c r="L22" s="38">
        <f>SUMIF('Stavební rozpočet'!AZ13:AZ786,"1421_75_",'Stavební rozpočet'!AV13:AV786)</f>
        <v>135048.00200000001</v>
      </c>
      <c r="M22" s="33" t="s">
        <v>100</v>
      </c>
      <c r="N22" s="35">
        <f t="shared" si="0"/>
        <v>135048.00200000001</v>
      </c>
      <c r="O22" s="17" t="s">
        <v>63</v>
      </c>
      <c r="P22" s="35">
        <f t="shared" si="1"/>
        <v>0</v>
      </c>
    </row>
    <row r="23" spans="1:16" x14ac:dyDescent="0.2">
      <c r="A23" s="25" t="s">
        <v>63</v>
      </c>
      <c r="B23" s="17" t="s">
        <v>88</v>
      </c>
      <c r="C23" s="123" t="s">
        <v>96</v>
      </c>
      <c r="D23" s="111"/>
      <c r="E23" s="111"/>
      <c r="F23" s="111"/>
      <c r="G23" s="111"/>
      <c r="H23" s="111"/>
      <c r="I23" s="111"/>
      <c r="J23" s="35">
        <f>SUMIF('Stavební rozpočet'!AZ13:AZ786,"1421_9_",'Stavební rozpočet'!AW13:AW786)</f>
        <v>0</v>
      </c>
      <c r="K23" s="35">
        <f>SUMIF('Stavební rozpočet'!AZ13:AZ786,"1421_9_",'Stavební rozpočet'!AX13:AX786)</f>
        <v>26250</v>
      </c>
      <c r="L23" s="38">
        <f>SUMIF('Stavební rozpočet'!AZ13:AZ786,"1421_9_",'Stavební rozpočet'!AV13:AV786)</f>
        <v>26250</v>
      </c>
      <c r="M23" s="33" t="s">
        <v>100</v>
      </c>
      <c r="N23" s="35">
        <f t="shared" si="0"/>
        <v>26250</v>
      </c>
      <c r="O23" s="17" t="s">
        <v>63</v>
      </c>
      <c r="P23" s="35">
        <f t="shared" si="1"/>
        <v>0</v>
      </c>
    </row>
    <row r="24" spans="1:16" x14ac:dyDescent="0.2">
      <c r="A24" s="25" t="s">
        <v>64</v>
      </c>
      <c r="B24" s="17"/>
      <c r="C24" s="123" t="s">
        <v>71</v>
      </c>
      <c r="D24" s="111"/>
      <c r="E24" s="111"/>
      <c r="F24" s="111"/>
      <c r="G24" s="111"/>
      <c r="H24" s="111"/>
      <c r="I24" s="111"/>
      <c r="J24" s="35">
        <f>'Stavební rozpočet'!J238</f>
        <v>267415</v>
      </c>
      <c r="K24" s="35">
        <f>'Stavební rozpočet'!K238</f>
        <v>90358.05</v>
      </c>
      <c r="L24" s="38">
        <f>'Stavební rozpočet'!L238</f>
        <v>357773.05000000005</v>
      </c>
      <c r="M24" s="33" t="s">
        <v>81</v>
      </c>
      <c r="N24" s="35">
        <f t="shared" si="0"/>
        <v>0</v>
      </c>
      <c r="O24" s="17" t="s">
        <v>64</v>
      </c>
      <c r="P24" s="35">
        <f t="shared" si="1"/>
        <v>357773.05000000005</v>
      </c>
    </row>
    <row r="25" spans="1:16" x14ac:dyDescent="0.2">
      <c r="A25" s="25" t="s">
        <v>64</v>
      </c>
      <c r="B25" s="17" t="s">
        <v>87</v>
      </c>
      <c r="C25" s="123" t="s">
        <v>95</v>
      </c>
      <c r="D25" s="111"/>
      <c r="E25" s="111"/>
      <c r="F25" s="111"/>
      <c r="G25" s="111"/>
      <c r="H25" s="111"/>
      <c r="I25" s="111"/>
      <c r="J25" s="35">
        <f>SUMIF('Stavební rozpočet'!AZ13:AZ786,"1422_71_",'Stavební rozpočet'!AW13:AW786)</f>
        <v>4060</v>
      </c>
      <c r="K25" s="35">
        <f>SUMIF('Stavební rozpočet'!AZ13:AZ786,"1422_71_",'Stavební rozpočet'!AX13:AX786)</f>
        <v>9713.9069999999992</v>
      </c>
      <c r="L25" s="38">
        <f>SUMIF('Stavební rozpočet'!AZ13:AZ786,"1422_71_",'Stavební rozpočet'!AV13:AV786)</f>
        <v>13773.906999999999</v>
      </c>
      <c r="M25" s="33" t="s">
        <v>100</v>
      </c>
      <c r="N25" s="35">
        <f t="shared" si="0"/>
        <v>13773.906999999999</v>
      </c>
      <c r="O25" s="17" t="s">
        <v>64</v>
      </c>
      <c r="P25" s="35">
        <f t="shared" si="1"/>
        <v>0</v>
      </c>
    </row>
    <row r="26" spans="1:16" x14ac:dyDescent="0.2">
      <c r="A26" s="25" t="s">
        <v>64</v>
      </c>
      <c r="B26" s="17" t="s">
        <v>89</v>
      </c>
      <c r="C26" s="123" t="s">
        <v>97</v>
      </c>
      <c r="D26" s="111"/>
      <c r="E26" s="111"/>
      <c r="F26" s="111"/>
      <c r="G26" s="111"/>
      <c r="H26" s="111"/>
      <c r="I26" s="111"/>
      <c r="J26" s="35">
        <f>SUMIF('Stavební rozpočet'!AZ13:AZ786,"1422_72_",'Stavební rozpočet'!AW13:AW786)</f>
        <v>1787</v>
      </c>
      <c r="K26" s="35">
        <f>SUMIF('Stavební rozpočet'!AZ13:AZ786,"1422_72_",'Stavební rozpočet'!AX13:AX786)</f>
        <v>1982.221</v>
      </c>
      <c r="L26" s="38">
        <f>SUMIF('Stavební rozpočet'!AZ13:AZ786,"1422_72_",'Stavební rozpočet'!AV13:AV786)</f>
        <v>3769.221</v>
      </c>
      <c r="M26" s="33" t="s">
        <v>100</v>
      </c>
      <c r="N26" s="35">
        <f t="shared" si="0"/>
        <v>3769.221</v>
      </c>
      <c r="O26" s="17" t="s">
        <v>64</v>
      </c>
      <c r="P26" s="35">
        <f t="shared" si="1"/>
        <v>0</v>
      </c>
    </row>
    <row r="27" spans="1:16" x14ac:dyDescent="0.2">
      <c r="A27" s="25" t="s">
        <v>64</v>
      </c>
      <c r="B27" s="17" t="s">
        <v>90</v>
      </c>
      <c r="C27" s="123" t="s">
        <v>98</v>
      </c>
      <c r="D27" s="111"/>
      <c r="E27" s="111"/>
      <c r="F27" s="111"/>
      <c r="G27" s="111"/>
      <c r="H27" s="111"/>
      <c r="I27" s="111"/>
      <c r="J27" s="35">
        <f>SUMIF('Stavební rozpočet'!AZ13:AZ786,"1422_74_",'Stavební rozpočet'!AW13:AW786)</f>
        <v>172565</v>
      </c>
      <c r="K27" s="35">
        <f>SUMIF('Stavební rozpočet'!AZ13:AZ786,"1422_74_",'Stavební rozpočet'!AX13:AX786)</f>
        <v>6366.92</v>
      </c>
      <c r="L27" s="38">
        <f>SUMIF('Stavební rozpočet'!AZ13:AZ786,"1422_74_",'Stavební rozpočet'!AV13:AV786)</f>
        <v>178931.92</v>
      </c>
      <c r="M27" s="33" t="s">
        <v>100</v>
      </c>
      <c r="N27" s="35">
        <f t="shared" si="0"/>
        <v>178931.92</v>
      </c>
      <c r="O27" s="17" t="s">
        <v>64</v>
      </c>
      <c r="P27" s="35">
        <f t="shared" si="1"/>
        <v>0</v>
      </c>
    </row>
    <row r="28" spans="1:16" x14ac:dyDescent="0.2">
      <c r="A28" s="25" t="s">
        <v>64</v>
      </c>
      <c r="B28" s="17" t="s">
        <v>91</v>
      </c>
      <c r="C28" s="123" t="s">
        <v>99</v>
      </c>
      <c r="D28" s="111"/>
      <c r="E28" s="111"/>
      <c r="F28" s="111"/>
      <c r="G28" s="111"/>
      <c r="H28" s="111"/>
      <c r="I28" s="111"/>
      <c r="J28" s="35">
        <f>SUMIF('Stavební rozpočet'!AZ13:AZ786,"1422_75_",'Stavební rozpočet'!AW13:AW786)</f>
        <v>89003</v>
      </c>
      <c r="K28" s="35">
        <f>SUMIF('Stavební rozpočet'!AZ13:AZ786,"1422_75_",'Stavební rozpočet'!AX13:AX786)</f>
        <v>46045.002</v>
      </c>
      <c r="L28" s="38">
        <f>SUMIF('Stavební rozpočet'!AZ13:AZ786,"1422_75_",'Stavební rozpočet'!AV13:AV786)</f>
        <v>135048.00200000001</v>
      </c>
      <c r="M28" s="33" t="s">
        <v>100</v>
      </c>
      <c r="N28" s="35">
        <f t="shared" si="0"/>
        <v>135048.00200000001</v>
      </c>
      <c r="O28" s="17" t="s">
        <v>64</v>
      </c>
      <c r="P28" s="35">
        <f t="shared" si="1"/>
        <v>0</v>
      </c>
    </row>
    <row r="29" spans="1:16" x14ac:dyDescent="0.2">
      <c r="A29" s="25" t="s">
        <v>64</v>
      </c>
      <c r="B29" s="17" t="s">
        <v>88</v>
      </c>
      <c r="C29" s="123" t="s">
        <v>96</v>
      </c>
      <c r="D29" s="111"/>
      <c r="E29" s="111"/>
      <c r="F29" s="111"/>
      <c r="G29" s="111"/>
      <c r="H29" s="111"/>
      <c r="I29" s="111"/>
      <c r="J29" s="35">
        <f>SUMIF('Stavební rozpočet'!AZ13:AZ786,"1422_9_",'Stavební rozpočet'!AW13:AW786)</f>
        <v>0</v>
      </c>
      <c r="K29" s="35">
        <f>SUMIF('Stavební rozpočet'!AZ13:AZ786,"1422_9_",'Stavební rozpočet'!AX13:AX786)</f>
        <v>26250</v>
      </c>
      <c r="L29" s="38">
        <f>SUMIF('Stavební rozpočet'!AZ13:AZ786,"1422_9_",'Stavební rozpočet'!AV13:AV786)</f>
        <v>26250</v>
      </c>
      <c r="M29" s="33" t="s">
        <v>100</v>
      </c>
      <c r="N29" s="35">
        <f t="shared" si="0"/>
        <v>26250</v>
      </c>
      <c r="O29" s="17" t="s">
        <v>64</v>
      </c>
      <c r="P29" s="35">
        <f t="shared" si="1"/>
        <v>0</v>
      </c>
    </row>
    <row r="30" spans="1:16" x14ac:dyDescent="0.2">
      <c r="A30" s="25" t="s">
        <v>65</v>
      </c>
      <c r="B30" s="17"/>
      <c r="C30" s="123" t="s">
        <v>72</v>
      </c>
      <c r="D30" s="111"/>
      <c r="E30" s="111"/>
      <c r="F30" s="111"/>
      <c r="G30" s="111"/>
      <c r="H30" s="111"/>
      <c r="I30" s="111"/>
      <c r="J30" s="35">
        <f>'Stavební rozpočet'!J413</f>
        <v>256418</v>
      </c>
      <c r="K30" s="35">
        <f>'Stavební rozpočet'!K413</f>
        <v>93268.05</v>
      </c>
      <c r="L30" s="38">
        <f>'Stavební rozpočet'!L413</f>
        <v>349686.05</v>
      </c>
      <c r="M30" s="33" t="s">
        <v>81</v>
      </c>
      <c r="N30" s="35">
        <f t="shared" si="0"/>
        <v>0</v>
      </c>
      <c r="O30" s="17" t="s">
        <v>65</v>
      </c>
      <c r="P30" s="35">
        <f t="shared" si="1"/>
        <v>349686.05</v>
      </c>
    </row>
    <row r="31" spans="1:16" x14ac:dyDescent="0.2">
      <c r="A31" s="25" t="s">
        <v>65</v>
      </c>
      <c r="B31" s="17" t="s">
        <v>87</v>
      </c>
      <c r="C31" s="123" t="s">
        <v>95</v>
      </c>
      <c r="D31" s="111"/>
      <c r="E31" s="111"/>
      <c r="F31" s="111"/>
      <c r="G31" s="111"/>
      <c r="H31" s="111"/>
      <c r="I31" s="111"/>
      <c r="J31" s="35">
        <f>SUMIF('Stavební rozpočet'!AZ13:AZ786,"1423_71_",'Stavební rozpočet'!AW13:AW786)</f>
        <v>4060</v>
      </c>
      <c r="K31" s="35">
        <f>SUMIF('Stavební rozpočet'!AZ13:AZ786,"1423_71_",'Stavební rozpočet'!AX13:AX786)</f>
        <v>9713.9069999999992</v>
      </c>
      <c r="L31" s="38">
        <f>SUMIF('Stavební rozpočet'!AZ13:AZ786,"1423_71_",'Stavební rozpočet'!AV13:AV786)</f>
        <v>13773.906999999999</v>
      </c>
      <c r="M31" s="33" t="s">
        <v>100</v>
      </c>
      <c r="N31" s="35">
        <f t="shared" si="0"/>
        <v>13773.906999999999</v>
      </c>
      <c r="O31" s="17" t="s">
        <v>65</v>
      </c>
      <c r="P31" s="35">
        <f t="shared" si="1"/>
        <v>0</v>
      </c>
    </row>
    <row r="32" spans="1:16" x14ac:dyDescent="0.2">
      <c r="A32" s="25" t="s">
        <v>65</v>
      </c>
      <c r="B32" s="17" t="s">
        <v>89</v>
      </c>
      <c r="C32" s="123" t="s">
        <v>97</v>
      </c>
      <c r="D32" s="111"/>
      <c r="E32" s="111"/>
      <c r="F32" s="111"/>
      <c r="G32" s="111"/>
      <c r="H32" s="111"/>
      <c r="I32" s="111"/>
      <c r="J32" s="35">
        <f>SUMIF('Stavební rozpočet'!AZ13:AZ786,"1423_72_",'Stavební rozpočet'!AW13:AW786)</f>
        <v>1787</v>
      </c>
      <c r="K32" s="35">
        <f>SUMIF('Stavební rozpočet'!AZ13:AZ786,"1423_72_",'Stavební rozpočet'!AX13:AX786)</f>
        <v>1982.221</v>
      </c>
      <c r="L32" s="38">
        <f>SUMIF('Stavební rozpočet'!AZ13:AZ786,"1423_72_",'Stavební rozpočet'!AV13:AV786)</f>
        <v>3769.221</v>
      </c>
      <c r="M32" s="33" t="s">
        <v>100</v>
      </c>
      <c r="N32" s="35">
        <f t="shared" si="0"/>
        <v>3769.221</v>
      </c>
      <c r="O32" s="17" t="s">
        <v>65</v>
      </c>
      <c r="P32" s="35">
        <f t="shared" si="1"/>
        <v>0</v>
      </c>
    </row>
    <row r="33" spans="1:16" x14ac:dyDescent="0.2">
      <c r="A33" s="25" t="s">
        <v>65</v>
      </c>
      <c r="B33" s="17" t="s">
        <v>90</v>
      </c>
      <c r="C33" s="123" t="s">
        <v>98</v>
      </c>
      <c r="D33" s="111"/>
      <c r="E33" s="111"/>
      <c r="F33" s="111"/>
      <c r="G33" s="111"/>
      <c r="H33" s="111"/>
      <c r="I33" s="111"/>
      <c r="J33" s="35">
        <f>SUMIF('Stavební rozpočet'!AZ13:AZ786,"1423_74_",'Stavební rozpočet'!AW13:AW786)</f>
        <v>172565</v>
      </c>
      <c r="K33" s="35">
        <f>SUMIF('Stavební rozpočet'!AZ13:AZ786,"1423_74_",'Stavební rozpočet'!AX13:AX786)</f>
        <v>6366.92</v>
      </c>
      <c r="L33" s="38">
        <f>SUMIF('Stavební rozpočet'!AZ13:AZ786,"1423_74_",'Stavební rozpočet'!AV13:AV786)</f>
        <v>178931.92</v>
      </c>
      <c r="M33" s="33" t="s">
        <v>100</v>
      </c>
      <c r="N33" s="35">
        <f t="shared" si="0"/>
        <v>178931.92</v>
      </c>
      <c r="O33" s="17" t="s">
        <v>65</v>
      </c>
      <c r="P33" s="35">
        <f t="shared" si="1"/>
        <v>0</v>
      </c>
    </row>
    <row r="34" spans="1:16" x14ac:dyDescent="0.2">
      <c r="A34" s="25" t="s">
        <v>65</v>
      </c>
      <c r="B34" s="17" t="s">
        <v>91</v>
      </c>
      <c r="C34" s="123" t="s">
        <v>99</v>
      </c>
      <c r="D34" s="111"/>
      <c r="E34" s="111"/>
      <c r="F34" s="111"/>
      <c r="G34" s="111"/>
      <c r="H34" s="111"/>
      <c r="I34" s="111"/>
      <c r="J34" s="35">
        <f>SUMIF('Stavební rozpočet'!AZ13:AZ786,"1423_75_",'Stavební rozpočet'!AW13:AW786)</f>
        <v>78006</v>
      </c>
      <c r="K34" s="35">
        <f>SUMIF('Stavební rozpočet'!AZ13:AZ786,"1423_75_",'Stavební rozpočet'!AX13:AX786)</f>
        <v>48955.002</v>
      </c>
      <c r="L34" s="38">
        <f>SUMIF('Stavební rozpočet'!AZ13:AZ786,"1423_75_",'Stavební rozpočet'!AV13:AV786)</f>
        <v>126961.00199999999</v>
      </c>
      <c r="M34" s="33" t="s">
        <v>100</v>
      </c>
      <c r="N34" s="35">
        <f t="shared" si="0"/>
        <v>126961.00199999999</v>
      </c>
      <c r="O34" s="17" t="s">
        <v>65</v>
      </c>
      <c r="P34" s="35">
        <f t="shared" si="1"/>
        <v>0</v>
      </c>
    </row>
    <row r="35" spans="1:16" x14ac:dyDescent="0.2">
      <c r="A35" s="25" t="s">
        <v>65</v>
      </c>
      <c r="B35" s="17" t="s">
        <v>88</v>
      </c>
      <c r="C35" s="123" t="s">
        <v>96</v>
      </c>
      <c r="D35" s="111"/>
      <c r="E35" s="111"/>
      <c r="F35" s="111"/>
      <c r="G35" s="111"/>
      <c r="H35" s="111"/>
      <c r="I35" s="111"/>
      <c r="J35" s="35">
        <f>SUMIF('Stavební rozpočet'!AZ13:AZ786,"1423_9_",'Stavební rozpočet'!AW13:AW786)</f>
        <v>0</v>
      </c>
      <c r="K35" s="35">
        <f>SUMIF('Stavební rozpočet'!AZ13:AZ786,"1423_9_",'Stavební rozpočet'!AX13:AX786)</f>
        <v>26250</v>
      </c>
      <c r="L35" s="38">
        <f>SUMIF('Stavební rozpočet'!AZ13:AZ786,"1423_9_",'Stavební rozpočet'!AV13:AV786)</f>
        <v>26250</v>
      </c>
      <c r="M35" s="33" t="s">
        <v>100</v>
      </c>
      <c r="N35" s="35">
        <f t="shared" si="0"/>
        <v>26250</v>
      </c>
      <c r="O35" s="17" t="s">
        <v>65</v>
      </c>
      <c r="P35" s="35">
        <f t="shared" si="1"/>
        <v>0</v>
      </c>
    </row>
    <row r="36" spans="1:16" x14ac:dyDescent="0.2">
      <c r="A36" s="25" t="s">
        <v>66</v>
      </c>
      <c r="B36" s="17"/>
      <c r="C36" s="123" t="s">
        <v>73</v>
      </c>
      <c r="D36" s="111"/>
      <c r="E36" s="111"/>
      <c r="F36" s="111"/>
      <c r="G36" s="111"/>
      <c r="H36" s="111"/>
      <c r="I36" s="111"/>
      <c r="J36" s="35">
        <f>'Stavební rozpočet'!J588</f>
        <v>269051</v>
      </c>
      <c r="K36" s="35">
        <f>'Stavební rozpočet'!K588</f>
        <v>88348.05</v>
      </c>
      <c r="L36" s="38">
        <f>'Stavební rozpočet'!L588</f>
        <v>357399.05000000005</v>
      </c>
      <c r="M36" s="33" t="s">
        <v>81</v>
      </c>
      <c r="N36" s="35">
        <f t="shared" si="0"/>
        <v>0</v>
      </c>
      <c r="O36" s="17" t="s">
        <v>66</v>
      </c>
      <c r="P36" s="35">
        <f t="shared" si="1"/>
        <v>357399.05000000005</v>
      </c>
    </row>
    <row r="37" spans="1:16" x14ac:dyDescent="0.2">
      <c r="A37" s="25" t="s">
        <v>66</v>
      </c>
      <c r="B37" s="17" t="s">
        <v>87</v>
      </c>
      <c r="C37" s="123" t="s">
        <v>95</v>
      </c>
      <c r="D37" s="111"/>
      <c r="E37" s="111"/>
      <c r="F37" s="111"/>
      <c r="G37" s="111"/>
      <c r="H37" s="111"/>
      <c r="I37" s="111"/>
      <c r="J37" s="35">
        <f>SUMIF('Stavební rozpočet'!AZ13:AZ786,"1424_71_",'Stavební rozpočet'!AW13:AW786)</f>
        <v>4060</v>
      </c>
      <c r="K37" s="35">
        <f>SUMIF('Stavební rozpočet'!AZ13:AZ786,"1424_71_",'Stavební rozpočet'!AX13:AX786)</f>
        <v>9713.9069999999992</v>
      </c>
      <c r="L37" s="38">
        <f>SUMIF('Stavební rozpočet'!AZ13:AZ786,"1424_71_",'Stavební rozpočet'!AV13:AV786)</f>
        <v>13773.906999999999</v>
      </c>
      <c r="M37" s="33" t="s">
        <v>100</v>
      </c>
      <c r="N37" s="35">
        <f t="shared" si="0"/>
        <v>13773.906999999999</v>
      </c>
      <c r="O37" s="17" t="s">
        <v>66</v>
      </c>
      <c r="P37" s="35">
        <f t="shared" si="1"/>
        <v>0</v>
      </c>
    </row>
    <row r="38" spans="1:16" x14ac:dyDescent="0.2">
      <c r="A38" s="25" t="s">
        <v>66</v>
      </c>
      <c r="B38" s="17" t="s">
        <v>89</v>
      </c>
      <c r="C38" s="123" t="s">
        <v>97</v>
      </c>
      <c r="D38" s="111"/>
      <c r="E38" s="111"/>
      <c r="F38" s="111"/>
      <c r="G38" s="111"/>
      <c r="H38" s="111"/>
      <c r="I38" s="111"/>
      <c r="J38" s="35">
        <f>SUMIF('Stavební rozpočet'!AZ13:AZ786,"1424_72_",'Stavební rozpočet'!AW13:AW786)</f>
        <v>1787</v>
      </c>
      <c r="K38" s="35">
        <f>SUMIF('Stavební rozpočet'!AZ13:AZ786,"1424_72_",'Stavební rozpočet'!AX13:AX786)</f>
        <v>1982.221</v>
      </c>
      <c r="L38" s="38">
        <f>SUMIF('Stavební rozpočet'!AZ13:AZ786,"1424_72_",'Stavební rozpočet'!AV13:AV786)</f>
        <v>3769.221</v>
      </c>
      <c r="M38" s="33" t="s">
        <v>100</v>
      </c>
      <c r="N38" s="35">
        <f t="shared" si="0"/>
        <v>3769.221</v>
      </c>
      <c r="O38" s="17" t="s">
        <v>66</v>
      </c>
      <c r="P38" s="35">
        <f t="shared" si="1"/>
        <v>0</v>
      </c>
    </row>
    <row r="39" spans="1:16" x14ac:dyDescent="0.2">
      <c r="A39" s="25" t="s">
        <v>66</v>
      </c>
      <c r="B39" s="17" t="s">
        <v>90</v>
      </c>
      <c r="C39" s="123" t="s">
        <v>98</v>
      </c>
      <c r="D39" s="111"/>
      <c r="E39" s="111"/>
      <c r="F39" s="111"/>
      <c r="G39" s="111"/>
      <c r="H39" s="111"/>
      <c r="I39" s="111"/>
      <c r="J39" s="35">
        <f>SUMIF('Stavební rozpočet'!AZ13:AZ786,"1424_74_",'Stavební rozpočet'!AW13:AW786)</f>
        <v>172565</v>
      </c>
      <c r="K39" s="35">
        <f>SUMIF('Stavební rozpočet'!AZ13:AZ786,"1424_74_",'Stavební rozpočet'!AX13:AX786)</f>
        <v>6366.92</v>
      </c>
      <c r="L39" s="38">
        <f>SUMIF('Stavební rozpočet'!AZ13:AZ786,"1424_74_",'Stavební rozpočet'!AV13:AV786)</f>
        <v>178931.92</v>
      </c>
      <c r="M39" s="33" t="s">
        <v>100</v>
      </c>
      <c r="N39" s="35">
        <f t="shared" si="0"/>
        <v>178931.92</v>
      </c>
      <c r="O39" s="17" t="s">
        <v>66</v>
      </c>
      <c r="P39" s="35">
        <f t="shared" si="1"/>
        <v>0</v>
      </c>
    </row>
    <row r="40" spans="1:16" x14ac:dyDescent="0.2">
      <c r="A40" s="25" t="s">
        <v>66</v>
      </c>
      <c r="B40" s="17" t="s">
        <v>91</v>
      </c>
      <c r="C40" s="123" t="s">
        <v>99</v>
      </c>
      <c r="D40" s="111"/>
      <c r="E40" s="111"/>
      <c r="F40" s="111"/>
      <c r="G40" s="111"/>
      <c r="H40" s="111"/>
      <c r="I40" s="111"/>
      <c r="J40" s="35">
        <f>SUMIF('Stavební rozpočet'!AZ13:AZ786,"1424_75_",'Stavební rozpočet'!AW13:AW786)</f>
        <v>90639</v>
      </c>
      <c r="K40" s="35">
        <f>SUMIF('Stavební rozpočet'!AZ13:AZ786,"1424_75_",'Stavební rozpočet'!AX13:AX786)</f>
        <v>44035.002</v>
      </c>
      <c r="L40" s="38">
        <f>SUMIF('Stavební rozpočet'!AZ13:AZ786,"1424_75_",'Stavební rozpočet'!AV13:AV786)</f>
        <v>134674.00200000001</v>
      </c>
      <c r="M40" s="33" t="s">
        <v>100</v>
      </c>
      <c r="N40" s="35">
        <f t="shared" si="0"/>
        <v>134674.00200000001</v>
      </c>
      <c r="O40" s="17" t="s">
        <v>66</v>
      </c>
      <c r="P40" s="35">
        <f t="shared" si="1"/>
        <v>0</v>
      </c>
    </row>
    <row r="41" spans="1:16" x14ac:dyDescent="0.2">
      <c r="A41" s="25" t="s">
        <v>66</v>
      </c>
      <c r="B41" s="17" t="s">
        <v>88</v>
      </c>
      <c r="C41" s="123" t="s">
        <v>96</v>
      </c>
      <c r="D41" s="111"/>
      <c r="E41" s="111"/>
      <c r="F41" s="111"/>
      <c r="G41" s="111"/>
      <c r="H41" s="111"/>
      <c r="I41" s="111"/>
      <c r="J41" s="35">
        <f>SUMIF('Stavební rozpočet'!AZ13:AZ786,"1424_9_",'Stavební rozpočet'!AW13:AW786)</f>
        <v>0</v>
      </c>
      <c r="K41" s="35">
        <f>SUMIF('Stavební rozpočet'!AZ13:AZ786,"1424_9_",'Stavební rozpočet'!AX13:AX786)</f>
        <v>26250</v>
      </c>
      <c r="L41" s="38">
        <f>SUMIF('Stavební rozpočet'!AZ13:AZ786,"1424_9_",'Stavební rozpočet'!AV13:AV786)</f>
        <v>26250</v>
      </c>
      <c r="M41" s="33" t="s">
        <v>100</v>
      </c>
      <c r="N41" s="35">
        <f t="shared" si="0"/>
        <v>26250</v>
      </c>
      <c r="O41" s="17" t="s">
        <v>66</v>
      </c>
      <c r="P41" s="35">
        <f t="shared" si="1"/>
        <v>0</v>
      </c>
    </row>
    <row r="42" spans="1:16" x14ac:dyDescent="0.2">
      <c r="A42" s="25" t="s">
        <v>67</v>
      </c>
      <c r="B42" s="17"/>
      <c r="C42" s="123" t="s">
        <v>74</v>
      </c>
      <c r="D42" s="111"/>
      <c r="E42" s="111"/>
      <c r="F42" s="111"/>
      <c r="G42" s="111"/>
      <c r="H42" s="111"/>
      <c r="I42" s="111"/>
      <c r="J42" s="35">
        <f>'Stavební rozpočet'!J763</f>
        <v>18008</v>
      </c>
      <c r="K42" s="35">
        <f>'Stavební rozpočet'!K763</f>
        <v>23167.239999999998</v>
      </c>
      <c r="L42" s="38">
        <f>'Stavební rozpočet'!L763</f>
        <v>41175.24</v>
      </c>
      <c r="M42" s="33" t="s">
        <v>81</v>
      </c>
      <c r="N42" s="35">
        <f t="shared" si="0"/>
        <v>0</v>
      </c>
      <c r="O42" s="17" t="s">
        <v>67</v>
      </c>
      <c r="P42" s="35">
        <f t="shared" si="1"/>
        <v>41175.24</v>
      </c>
    </row>
    <row r="43" spans="1:16" x14ac:dyDescent="0.2">
      <c r="A43" s="26" t="s">
        <v>67</v>
      </c>
      <c r="B43" s="29" t="s">
        <v>88</v>
      </c>
      <c r="C43" s="150" t="s">
        <v>96</v>
      </c>
      <c r="D43" s="122"/>
      <c r="E43" s="122"/>
      <c r="F43" s="122"/>
      <c r="G43" s="122"/>
      <c r="H43" s="122"/>
      <c r="I43" s="122"/>
      <c r="J43" s="36">
        <f>SUMIF('Stavební rozpočet'!AZ13:AZ786,"1441_9_",'Stavební rozpočet'!AW13:AW786)</f>
        <v>18008</v>
      </c>
      <c r="K43" s="36">
        <f>SUMIF('Stavební rozpočet'!AZ13:AZ786,"1441_9_",'Stavební rozpočet'!AX13:AX786)</f>
        <v>23167.24</v>
      </c>
      <c r="L43" s="39">
        <f>SUMIF('Stavební rozpočet'!AZ13:AZ786,"1441_9_",'Stavební rozpočet'!AV13:AV786)</f>
        <v>41175.24</v>
      </c>
      <c r="M43" s="33" t="s">
        <v>100</v>
      </c>
      <c r="N43" s="35">
        <f t="shared" si="0"/>
        <v>41175.24</v>
      </c>
      <c r="O43" s="17" t="s">
        <v>67</v>
      </c>
      <c r="P43" s="35">
        <f t="shared" si="1"/>
        <v>0</v>
      </c>
    </row>
    <row r="44" spans="1:16" x14ac:dyDescent="0.2">
      <c r="A44" s="5"/>
      <c r="B44" s="5"/>
      <c r="C44" s="5"/>
      <c r="D44" s="5"/>
      <c r="E44" s="5"/>
      <c r="F44" s="5"/>
      <c r="G44" s="5"/>
      <c r="H44" s="5"/>
      <c r="I44" s="5"/>
      <c r="J44" s="151" t="s">
        <v>79</v>
      </c>
      <c r="K44" s="113"/>
      <c r="L44" s="40">
        <f>SUM(N12:N43)</f>
        <v>1738867.2113999999</v>
      </c>
    </row>
    <row r="45" spans="1:16" ht="11.25" customHeight="1" x14ac:dyDescent="0.2">
      <c r="A45" s="27" t="s">
        <v>18</v>
      </c>
    </row>
    <row r="46" spans="1:16" x14ac:dyDescent="0.2">
      <c r="A46" s="12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</row>
  </sheetData>
  <sheetProtection sheet="1" objects="1" scenarios="1"/>
  <mergeCells count="62">
    <mergeCell ref="C38:I38"/>
    <mergeCell ref="A46:L46"/>
    <mergeCell ref="C39:I39"/>
    <mergeCell ref="C40:I40"/>
    <mergeCell ref="C41:I41"/>
    <mergeCell ref="C42:I42"/>
    <mergeCell ref="C43:I43"/>
    <mergeCell ref="J44:K44"/>
    <mergeCell ref="C33:I33"/>
    <mergeCell ref="C34:I34"/>
    <mergeCell ref="C35:I35"/>
    <mergeCell ref="C36:I36"/>
    <mergeCell ref="C37:I37"/>
    <mergeCell ref="C28:I28"/>
    <mergeCell ref="C29:I29"/>
    <mergeCell ref="C30:I30"/>
    <mergeCell ref="C31:I31"/>
    <mergeCell ref="C32:I32"/>
    <mergeCell ref="C23:I23"/>
    <mergeCell ref="C24:I24"/>
    <mergeCell ref="C25:I25"/>
    <mergeCell ref="C26:I26"/>
    <mergeCell ref="C27:I27"/>
    <mergeCell ref="C18:I18"/>
    <mergeCell ref="C19:I19"/>
    <mergeCell ref="C20:I20"/>
    <mergeCell ref="C21:I21"/>
    <mergeCell ref="C22:I22"/>
    <mergeCell ref="C13:I13"/>
    <mergeCell ref="C14:I14"/>
    <mergeCell ref="C15:I15"/>
    <mergeCell ref="C16:I16"/>
    <mergeCell ref="C17:I17"/>
    <mergeCell ref="J8:L9"/>
    <mergeCell ref="C10:I10"/>
    <mergeCell ref="J10:L10"/>
    <mergeCell ref="C11:I11"/>
    <mergeCell ref="C12:I12"/>
    <mergeCell ref="A8:C9"/>
    <mergeCell ref="D8:F9"/>
    <mergeCell ref="G8:G9"/>
    <mergeCell ref="H8:H9"/>
    <mergeCell ref="I8:I9"/>
    <mergeCell ref="J4:L5"/>
    <mergeCell ref="A6:C7"/>
    <mergeCell ref="D6:F7"/>
    <mergeCell ref="G6:G7"/>
    <mergeCell ref="H6:H7"/>
    <mergeCell ref="I6:I7"/>
    <mergeCell ref="J6:L7"/>
    <mergeCell ref="A4:C5"/>
    <mergeCell ref="D4:F5"/>
    <mergeCell ref="G4:G5"/>
    <mergeCell ref="H4:H5"/>
    <mergeCell ref="I4:I5"/>
    <mergeCell ref="A1:L1"/>
    <mergeCell ref="A2:C3"/>
    <mergeCell ref="D2:F3"/>
    <mergeCell ref="G2:G3"/>
    <mergeCell ref="H2:H3"/>
    <mergeCell ref="I2:I3"/>
    <mergeCell ref="J2:L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8"/>
  <sheetViews>
    <sheetView workbookViewId="0">
      <pane ySplit="11" topLeftCell="A12" activePane="bottomLeft" state="frozenSplit"/>
      <selection pane="bottomLeft" sqref="A1:L1"/>
    </sheetView>
  </sheetViews>
  <sheetFormatPr defaultColWidth="11.5703125" defaultRowHeight="12.75" x14ac:dyDescent="0.2"/>
  <cols>
    <col min="1" max="1" width="7.5703125" customWidth="1"/>
    <col min="2" max="2" width="5.7109375" customWidth="1"/>
    <col min="3" max="9" width="15.7109375" customWidth="1"/>
    <col min="10" max="12" width="14.28515625" customWidth="1"/>
    <col min="13" max="16" width="12.140625" hidden="1" customWidth="1"/>
  </cols>
  <sheetData>
    <row r="1" spans="1:16" ht="72.95" customHeight="1" x14ac:dyDescent="0.35">
      <c r="A1" s="145" t="s">
        <v>101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6" x14ac:dyDescent="0.2">
      <c r="A2" s="108" t="s">
        <v>0</v>
      </c>
      <c r="B2" s="109"/>
      <c r="C2" s="109"/>
      <c r="D2" s="112" t="str">
        <f>'Stavební rozpočet'!D2</f>
        <v>Snížení energetické náročnosti MŠ Hrabinská Český Těšín</v>
      </c>
      <c r="E2" s="113"/>
      <c r="F2" s="113"/>
      <c r="G2" s="115" t="s">
        <v>75</v>
      </c>
      <c r="H2" s="115" t="str">
        <f>'Stavební rozpočet'!G2</f>
        <v xml:space="preserve"> </v>
      </c>
      <c r="I2" s="115" t="s">
        <v>32</v>
      </c>
      <c r="J2" s="115" t="str">
        <f>'Stavební rozpočet'!J2</f>
        <v>Město Český Těšín</v>
      </c>
      <c r="K2" s="109"/>
      <c r="L2" s="146"/>
      <c r="M2" s="19"/>
    </row>
    <row r="3" spans="1:16" ht="51.4" customHeight="1" x14ac:dyDescent="0.2">
      <c r="A3" s="110"/>
      <c r="B3" s="111"/>
      <c r="C3" s="111"/>
      <c r="D3" s="114"/>
      <c r="E3" s="114"/>
      <c r="F3" s="114"/>
      <c r="G3" s="111"/>
      <c r="H3" s="111"/>
      <c r="I3" s="111"/>
      <c r="J3" s="111"/>
      <c r="K3" s="111"/>
      <c r="L3" s="117"/>
      <c r="M3" s="19"/>
    </row>
    <row r="4" spans="1:16" x14ac:dyDescent="0.2">
      <c r="A4" s="119" t="s">
        <v>1</v>
      </c>
      <c r="B4" s="111"/>
      <c r="C4" s="111"/>
      <c r="D4" s="120" t="str">
        <f>'Stavební rozpočet'!D4</f>
        <v>Rekuperace</v>
      </c>
      <c r="E4" s="111"/>
      <c r="F4" s="111"/>
      <c r="G4" s="120" t="s">
        <v>3</v>
      </c>
      <c r="H4" s="120" t="str">
        <f>'Stavební rozpočet'!G4</f>
        <v xml:space="preserve"> </v>
      </c>
      <c r="I4" s="120" t="s">
        <v>33</v>
      </c>
      <c r="J4" s="120" t="str">
        <f>'Stavební rozpočet'!J4</f>
        <v>C.E.I.S. CZ s.r.o.</v>
      </c>
      <c r="K4" s="111"/>
      <c r="L4" s="117"/>
      <c r="M4" s="19"/>
    </row>
    <row r="5" spans="1:16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7"/>
      <c r="M5" s="19"/>
    </row>
    <row r="6" spans="1:16" x14ac:dyDescent="0.2">
      <c r="A6" s="119" t="s">
        <v>2</v>
      </c>
      <c r="B6" s="111"/>
      <c r="C6" s="111"/>
      <c r="D6" s="120" t="str">
        <f>'Stavební rozpočet'!D6</f>
        <v>Hrabinská 1016/51, Český Těšín</v>
      </c>
      <c r="E6" s="111"/>
      <c r="F6" s="111"/>
      <c r="G6" s="120" t="s">
        <v>35</v>
      </c>
      <c r="H6" s="120" t="str">
        <f>'Stavební rozpočet'!G6</f>
        <v xml:space="preserve"> </v>
      </c>
      <c r="I6" s="120" t="s">
        <v>34</v>
      </c>
      <c r="J6" s="120" t="str">
        <f>'Stavební rozpočet'!J6</f>
        <v> </v>
      </c>
      <c r="K6" s="111"/>
      <c r="L6" s="117"/>
      <c r="M6" s="19"/>
    </row>
    <row r="7" spans="1:16" ht="25.7" customHeight="1" x14ac:dyDescent="0.2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7"/>
      <c r="M7" s="19"/>
    </row>
    <row r="8" spans="1:16" x14ac:dyDescent="0.2">
      <c r="A8" s="119" t="s">
        <v>4</v>
      </c>
      <c r="B8" s="111"/>
      <c r="C8" s="111"/>
      <c r="D8" s="120">
        <f>'Stavební rozpočet'!D8</f>
        <v>8013112</v>
      </c>
      <c r="E8" s="111"/>
      <c r="F8" s="111"/>
      <c r="G8" s="120" t="s">
        <v>76</v>
      </c>
      <c r="H8" s="120" t="str">
        <f>'Stavební rozpočet'!G8</f>
        <v>20.12.2019</v>
      </c>
      <c r="I8" s="120" t="s">
        <v>36</v>
      </c>
      <c r="J8" s="120" t="str">
        <f>'Stavební rozpočet'!J8</f>
        <v>Blažek</v>
      </c>
      <c r="K8" s="111"/>
      <c r="L8" s="117"/>
      <c r="M8" s="19"/>
    </row>
    <row r="9" spans="1:16" x14ac:dyDescent="0.2">
      <c r="A9" s="14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8"/>
      <c r="M9" s="19"/>
    </row>
    <row r="10" spans="1:16" x14ac:dyDescent="0.2">
      <c r="A10" s="22" t="s">
        <v>60</v>
      </c>
      <c r="B10" s="41" t="s">
        <v>60</v>
      </c>
      <c r="C10" s="160" t="s">
        <v>60</v>
      </c>
      <c r="D10" s="159"/>
      <c r="E10" s="159"/>
      <c r="F10" s="159"/>
      <c r="G10" s="159"/>
      <c r="H10" s="159"/>
      <c r="I10" s="161"/>
      <c r="J10" s="152" t="s">
        <v>77</v>
      </c>
      <c r="K10" s="153"/>
      <c r="L10" s="154"/>
      <c r="M10" s="20"/>
    </row>
    <row r="11" spans="1:16" x14ac:dyDescent="0.2">
      <c r="A11" s="23" t="s">
        <v>61</v>
      </c>
      <c r="B11" s="42" t="s">
        <v>83</v>
      </c>
      <c r="C11" s="155" t="s">
        <v>68</v>
      </c>
      <c r="D11" s="156"/>
      <c r="E11" s="156"/>
      <c r="F11" s="156"/>
      <c r="G11" s="156"/>
      <c r="H11" s="156"/>
      <c r="I11" s="157"/>
      <c r="J11" s="30" t="s">
        <v>78</v>
      </c>
      <c r="K11" s="31" t="s">
        <v>21</v>
      </c>
      <c r="L11" s="32" t="s">
        <v>80</v>
      </c>
      <c r="M11" s="20"/>
    </row>
    <row r="12" spans="1:16" x14ac:dyDescent="0.2">
      <c r="A12" s="24" t="s">
        <v>62</v>
      </c>
      <c r="B12" s="28"/>
      <c r="C12" s="158" t="s">
        <v>69</v>
      </c>
      <c r="D12" s="159"/>
      <c r="E12" s="159"/>
      <c r="F12" s="159"/>
      <c r="G12" s="159"/>
      <c r="H12" s="159"/>
      <c r="I12" s="159"/>
      <c r="J12" s="34">
        <f>'Stavební rozpočet'!J12</f>
        <v>0</v>
      </c>
      <c r="K12" s="34">
        <f>'Stavební rozpočet'!K12</f>
        <v>275060.77139999997</v>
      </c>
      <c r="L12" s="37">
        <f>'Stavební rozpočet'!L12</f>
        <v>275060.77139999997</v>
      </c>
      <c r="M12" s="33" t="s">
        <v>81</v>
      </c>
      <c r="N12" s="35">
        <f t="shared" ref="N12:N55" si="0">IF(M12="F",0,L12)</f>
        <v>0</v>
      </c>
      <c r="O12" s="17" t="s">
        <v>62</v>
      </c>
      <c r="P12" s="35">
        <f t="shared" ref="P12:P55" si="1">IF(M12="T",0,L12)</f>
        <v>275060.77139999997</v>
      </c>
    </row>
    <row r="13" spans="1:16" x14ac:dyDescent="0.2">
      <c r="A13" s="25" t="s">
        <v>62</v>
      </c>
      <c r="B13" s="17" t="s">
        <v>102</v>
      </c>
      <c r="C13" s="123" t="s">
        <v>121</v>
      </c>
      <c r="D13" s="111"/>
      <c r="E13" s="111"/>
      <c r="F13" s="111"/>
      <c r="G13" s="111"/>
      <c r="H13" s="111"/>
      <c r="I13" s="111"/>
      <c r="J13" s="35">
        <f>'Stavební rozpočet'!J13</f>
        <v>0</v>
      </c>
      <c r="K13" s="35">
        <f>'Stavební rozpočet'!K13</f>
        <v>42899.140800000001</v>
      </c>
      <c r="L13" s="38">
        <f>'Stavební rozpočet'!L13</f>
        <v>42899.140800000001</v>
      </c>
      <c r="M13" s="33" t="s">
        <v>100</v>
      </c>
      <c r="N13" s="35">
        <f t="shared" si="0"/>
        <v>42899.140800000001</v>
      </c>
      <c r="O13" s="17" t="s">
        <v>62</v>
      </c>
      <c r="P13" s="35">
        <f t="shared" si="1"/>
        <v>0</v>
      </c>
    </row>
    <row r="14" spans="1:16" x14ac:dyDescent="0.2">
      <c r="A14" s="25" t="s">
        <v>62</v>
      </c>
      <c r="B14" s="17" t="s">
        <v>103</v>
      </c>
      <c r="C14" s="123" t="s">
        <v>122</v>
      </c>
      <c r="D14" s="111"/>
      <c r="E14" s="111"/>
      <c r="F14" s="111"/>
      <c r="G14" s="111"/>
      <c r="H14" s="111"/>
      <c r="I14" s="111"/>
      <c r="J14" s="35">
        <f>'Stavební rozpočet'!J17</f>
        <v>0</v>
      </c>
      <c r="K14" s="35">
        <f>'Stavební rozpočet'!K17</f>
        <v>7454.7168600000005</v>
      </c>
      <c r="L14" s="38">
        <f>'Stavební rozpočet'!L17</f>
        <v>7454.7168600000005</v>
      </c>
      <c r="M14" s="33" t="s">
        <v>100</v>
      </c>
      <c r="N14" s="35">
        <f t="shared" si="0"/>
        <v>7454.7168600000005</v>
      </c>
      <c r="O14" s="17" t="s">
        <v>62</v>
      </c>
      <c r="P14" s="35">
        <f t="shared" si="1"/>
        <v>0</v>
      </c>
    </row>
    <row r="15" spans="1:16" x14ac:dyDescent="0.2">
      <c r="A15" s="25" t="s">
        <v>62</v>
      </c>
      <c r="B15" s="17" t="s">
        <v>104</v>
      </c>
      <c r="C15" s="123" t="s">
        <v>123</v>
      </c>
      <c r="D15" s="111"/>
      <c r="E15" s="111"/>
      <c r="F15" s="111"/>
      <c r="G15" s="111"/>
      <c r="H15" s="111"/>
      <c r="I15" s="111"/>
      <c r="J15" s="35">
        <f>'Stavební rozpočet'!J23</f>
        <v>0</v>
      </c>
      <c r="K15" s="35">
        <f>'Stavební rozpočet'!K23</f>
        <v>5438.16</v>
      </c>
      <c r="L15" s="38">
        <f>'Stavební rozpočet'!L23</f>
        <v>5438.16</v>
      </c>
      <c r="M15" s="33" t="s">
        <v>100</v>
      </c>
      <c r="N15" s="35">
        <f t="shared" si="0"/>
        <v>5438.16</v>
      </c>
      <c r="O15" s="17" t="s">
        <v>62</v>
      </c>
      <c r="P15" s="35">
        <f t="shared" si="1"/>
        <v>0</v>
      </c>
    </row>
    <row r="16" spans="1:16" x14ac:dyDescent="0.2">
      <c r="A16" s="25" t="s">
        <v>62</v>
      </c>
      <c r="B16" s="17" t="s">
        <v>105</v>
      </c>
      <c r="C16" s="123" t="s">
        <v>124</v>
      </c>
      <c r="D16" s="111"/>
      <c r="E16" s="111"/>
      <c r="F16" s="111"/>
      <c r="G16" s="111"/>
      <c r="H16" s="111"/>
      <c r="I16" s="111"/>
      <c r="J16" s="35">
        <f>'Stavební rozpočet'!J26</f>
        <v>0</v>
      </c>
      <c r="K16" s="35">
        <f>'Stavební rozpočet'!K26</f>
        <v>174145.10198000001</v>
      </c>
      <c r="L16" s="38">
        <f>'Stavební rozpočet'!L26</f>
        <v>174145.10198000001</v>
      </c>
      <c r="M16" s="33" t="s">
        <v>100</v>
      </c>
      <c r="N16" s="35">
        <f t="shared" si="0"/>
        <v>174145.10198000001</v>
      </c>
      <c r="O16" s="17" t="s">
        <v>62</v>
      </c>
      <c r="P16" s="35">
        <f t="shared" si="1"/>
        <v>0</v>
      </c>
    </row>
    <row r="17" spans="1:16" x14ac:dyDescent="0.2">
      <c r="A17" s="25" t="s">
        <v>62</v>
      </c>
      <c r="B17" s="17" t="s">
        <v>106</v>
      </c>
      <c r="C17" s="123" t="s">
        <v>125</v>
      </c>
      <c r="D17" s="111"/>
      <c r="E17" s="111"/>
      <c r="F17" s="111"/>
      <c r="G17" s="111"/>
      <c r="H17" s="111"/>
      <c r="I17" s="111"/>
      <c r="J17" s="35">
        <f>'Stavební rozpočet'!J36</f>
        <v>0</v>
      </c>
      <c r="K17" s="35">
        <f>'Stavební rozpočet'!K36</f>
        <v>2350.08</v>
      </c>
      <c r="L17" s="38">
        <f>'Stavební rozpočet'!L36</f>
        <v>2350.08</v>
      </c>
      <c r="M17" s="33" t="s">
        <v>100</v>
      </c>
      <c r="N17" s="35">
        <f t="shared" si="0"/>
        <v>2350.08</v>
      </c>
      <c r="O17" s="17" t="s">
        <v>62</v>
      </c>
      <c r="P17" s="35">
        <f t="shared" si="1"/>
        <v>0</v>
      </c>
    </row>
    <row r="18" spans="1:16" x14ac:dyDescent="0.2">
      <c r="A18" s="25" t="s">
        <v>62</v>
      </c>
      <c r="B18" s="17" t="s">
        <v>107</v>
      </c>
      <c r="C18" s="123" t="s">
        <v>126</v>
      </c>
      <c r="D18" s="111"/>
      <c r="E18" s="111"/>
      <c r="F18" s="111"/>
      <c r="G18" s="111"/>
      <c r="H18" s="111"/>
      <c r="I18" s="111"/>
      <c r="J18" s="35">
        <f>'Stavební rozpočet'!J39</f>
        <v>0</v>
      </c>
      <c r="K18" s="35">
        <f>'Stavební rozpočet'!K39</f>
        <v>2034.72</v>
      </c>
      <c r="L18" s="38">
        <f>'Stavební rozpočet'!L39</f>
        <v>2034.72</v>
      </c>
      <c r="M18" s="33" t="s">
        <v>100</v>
      </c>
      <c r="N18" s="35">
        <f t="shared" si="0"/>
        <v>2034.72</v>
      </c>
      <c r="O18" s="17" t="s">
        <v>62</v>
      </c>
      <c r="P18" s="35">
        <f t="shared" si="1"/>
        <v>0</v>
      </c>
    </row>
    <row r="19" spans="1:16" x14ac:dyDescent="0.2">
      <c r="A19" s="25" t="s">
        <v>62</v>
      </c>
      <c r="B19" s="17" t="s">
        <v>108</v>
      </c>
      <c r="C19" s="123" t="s">
        <v>127</v>
      </c>
      <c r="D19" s="111"/>
      <c r="E19" s="111"/>
      <c r="F19" s="111"/>
      <c r="G19" s="111"/>
      <c r="H19" s="111"/>
      <c r="I19" s="111"/>
      <c r="J19" s="35">
        <f>'Stavební rozpočet'!J41</f>
        <v>0</v>
      </c>
      <c r="K19" s="35">
        <f>'Stavební rozpočet'!K41</f>
        <v>7868.3136000000004</v>
      </c>
      <c r="L19" s="38">
        <f>'Stavební rozpočet'!L41</f>
        <v>7868.3136000000004</v>
      </c>
      <c r="M19" s="33" t="s">
        <v>100</v>
      </c>
      <c r="N19" s="35">
        <f t="shared" si="0"/>
        <v>7868.3136000000004</v>
      </c>
      <c r="O19" s="17" t="s">
        <v>62</v>
      </c>
      <c r="P19" s="35">
        <f t="shared" si="1"/>
        <v>0</v>
      </c>
    </row>
    <row r="20" spans="1:16" x14ac:dyDescent="0.2">
      <c r="A20" s="25" t="s">
        <v>62</v>
      </c>
      <c r="B20" s="17" t="s">
        <v>109</v>
      </c>
      <c r="C20" s="123" t="s">
        <v>128</v>
      </c>
      <c r="D20" s="111"/>
      <c r="E20" s="111"/>
      <c r="F20" s="111"/>
      <c r="G20" s="111"/>
      <c r="H20" s="111"/>
      <c r="I20" s="111"/>
      <c r="J20" s="35">
        <f>'Stavební rozpočet'!J43</f>
        <v>0</v>
      </c>
      <c r="K20" s="35">
        <f>'Stavební rozpočet'!K43</f>
        <v>29.387999999999998</v>
      </c>
      <c r="L20" s="38">
        <f>'Stavební rozpočet'!L43</f>
        <v>29.387999999999998</v>
      </c>
      <c r="M20" s="33" t="s">
        <v>100</v>
      </c>
      <c r="N20" s="35">
        <f t="shared" si="0"/>
        <v>29.387999999999998</v>
      </c>
      <c r="O20" s="17" t="s">
        <v>62</v>
      </c>
      <c r="P20" s="35">
        <f t="shared" si="1"/>
        <v>0</v>
      </c>
    </row>
    <row r="21" spans="1:16" x14ac:dyDescent="0.2">
      <c r="A21" s="25" t="s">
        <v>62</v>
      </c>
      <c r="B21" s="17" t="s">
        <v>110</v>
      </c>
      <c r="C21" s="123" t="s">
        <v>129</v>
      </c>
      <c r="D21" s="111"/>
      <c r="E21" s="111"/>
      <c r="F21" s="111"/>
      <c r="G21" s="111"/>
      <c r="H21" s="111"/>
      <c r="I21" s="111"/>
      <c r="J21" s="35">
        <f>'Stavební rozpočet'!J46</f>
        <v>0</v>
      </c>
      <c r="K21" s="35">
        <f>'Stavební rozpočet'!K46</f>
        <v>46.8</v>
      </c>
      <c r="L21" s="38">
        <f>'Stavební rozpočet'!L46</f>
        <v>46.8</v>
      </c>
      <c r="M21" s="33" t="s">
        <v>100</v>
      </c>
      <c r="N21" s="35">
        <f t="shared" si="0"/>
        <v>46.8</v>
      </c>
      <c r="O21" s="17" t="s">
        <v>62</v>
      </c>
      <c r="P21" s="35">
        <f t="shared" si="1"/>
        <v>0</v>
      </c>
    </row>
    <row r="22" spans="1:16" x14ac:dyDescent="0.2">
      <c r="A22" s="25" t="s">
        <v>62</v>
      </c>
      <c r="B22" s="17" t="s">
        <v>111</v>
      </c>
      <c r="C22" s="123" t="s">
        <v>130</v>
      </c>
      <c r="D22" s="111"/>
      <c r="E22" s="111"/>
      <c r="F22" s="111"/>
      <c r="G22" s="111"/>
      <c r="H22" s="111"/>
      <c r="I22" s="111"/>
      <c r="J22" s="35">
        <f>'Stavební rozpočet'!J48</f>
        <v>0</v>
      </c>
      <c r="K22" s="35">
        <f>'Stavební rozpočet'!K48</f>
        <v>23337.040000000001</v>
      </c>
      <c r="L22" s="38">
        <f>'Stavební rozpočet'!L48</f>
        <v>23337.040000000001</v>
      </c>
      <c r="M22" s="33" t="s">
        <v>100</v>
      </c>
      <c r="N22" s="35">
        <f t="shared" si="0"/>
        <v>23337.040000000001</v>
      </c>
      <c r="O22" s="17" t="s">
        <v>62</v>
      </c>
      <c r="P22" s="35">
        <f t="shared" si="1"/>
        <v>0</v>
      </c>
    </row>
    <row r="23" spans="1:16" x14ac:dyDescent="0.2">
      <c r="A23" s="25" t="s">
        <v>62</v>
      </c>
      <c r="B23" s="17" t="s">
        <v>112</v>
      </c>
      <c r="C23" s="123" t="s">
        <v>131</v>
      </c>
      <c r="D23" s="111"/>
      <c r="E23" s="111"/>
      <c r="F23" s="111"/>
      <c r="G23" s="111"/>
      <c r="H23" s="111"/>
      <c r="I23" s="111"/>
      <c r="J23" s="35">
        <f>'Stavební rozpočet'!J54</f>
        <v>0</v>
      </c>
      <c r="K23" s="35">
        <f>'Stavební rozpočet'!K54</f>
        <v>4165.6409999999996</v>
      </c>
      <c r="L23" s="38">
        <f>'Stavební rozpočet'!L54</f>
        <v>4165.6409999999996</v>
      </c>
      <c r="M23" s="33" t="s">
        <v>100</v>
      </c>
      <c r="N23" s="35">
        <f t="shared" si="0"/>
        <v>4165.6409999999996</v>
      </c>
      <c r="O23" s="17" t="s">
        <v>62</v>
      </c>
      <c r="P23" s="35">
        <f t="shared" si="1"/>
        <v>0</v>
      </c>
    </row>
    <row r="24" spans="1:16" x14ac:dyDescent="0.2">
      <c r="A24" s="25" t="s">
        <v>62</v>
      </c>
      <c r="B24" s="17" t="s">
        <v>113</v>
      </c>
      <c r="C24" s="123" t="s">
        <v>132</v>
      </c>
      <c r="D24" s="111"/>
      <c r="E24" s="111"/>
      <c r="F24" s="111"/>
      <c r="G24" s="111"/>
      <c r="H24" s="111"/>
      <c r="I24" s="111"/>
      <c r="J24" s="35">
        <f>'Stavební rozpočet'!J56</f>
        <v>0</v>
      </c>
      <c r="K24" s="35">
        <f>'Stavební rozpočet'!K56</f>
        <v>5291.6691600000004</v>
      </c>
      <c r="L24" s="38">
        <f>'Stavební rozpočet'!L56</f>
        <v>5291.6691600000004</v>
      </c>
      <c r="M24" s="33" t="s">
        <v>100</v>
      </c>
      <c r="N24" s="35">
        <f t="shared" si="0"/>
        <v>5291.6691600000004</v>
      </c>
      <c r="O24" s="17" t="s">
        <v>62</v>
      </c>
      <c r="P24" s="35">
        <f t="shared" si="1"/>
        <v>0</v>
      </c>
    </row>
    <row r="25" spans="1:16" x14ac:dyDescent="0.2">
      <c r="A25" s="25" t="s">
        <v>63</v>
      </c>
      <c r="B25" s="17"/>
      <c r="C25" s="123" t="s">
        <v>70</v>
      </c>
      <c r="D25" s="111"/>
      <c r="E25" s="111"/>
      <c r="F25" s="111"/>
      <c r="G25" s="111"/>
      <c r="H25" s="111"/>
      <c r="I25" s="111"/>
      <c r="J25" s="35">
        <f>'Stavební rozpočet'!J63</f>
        <v>269425</v>
      </c>
      <c r="K25" s="35">
        <f>'Stavební rozpočet'!K63</f>
        <v>88348.05</v>
      </c>
      <c r="L25" s="38">
        <f>'Stavební rozpočet'!L63</f>
        <v>357773.05000000005</v>
      </c>
      <c r="M25" s="33" t="s">
        <v>81</v>
      </c>
      <c r="N25" s="35">
        <f t="shared" si="0"/>
        <v>0</v>
      </c>
      <c r="O25" s="17" t="s">
        <v>63</v>
      </c>
      <c r="P25" s="35">
        <f t="shared" si="1"/>
        <v>357773.05000000005</v>
      </c>
    </row>
    <row r="26" spans="1:16" x14ac:dyDescent="0.2">
      <c r="A26" s="25" t="s">
        <v>63</v>
      </c>
      <c r="B26" s="17" t="s">
        <v>102</v>
      </c>
      <c r="C26" s="123" t="s">
        <v>121</v>
      </c>
      <c r="D26" s="111"/>
      <c r="E26" s="111"/>
      <c r="F26" s="111"/>
      <c r="G26" s="111"/>
      <c r="H26" s="111"/>
      <c r="I26" s="111"/>
      <c r="J26" s="35">
        <f>'Stavební rozpočet'!J64</f>
        <v>4060</v>
      </c>
      <c r="K26" s="35">
        <f>'Stavební rozpočet'!K64</f>
        <v>9713.9069999999992</v>
      </c>
      <c r="L26" s="38">
        <f>'Stavební rozpočet'!L64</f>
        <v>13773.906999999999</v>
      </c>
      <c r="M26" s="33" t="s">
        <v>100</v>
      </c>
      <c r="N26" s="35">
        <f t="shared" si="0"/>
        <v>13773.906999999999</v>
      </c>
      <c r="O26" s="17" t="s">
        <v>63</v>
      </c>
      <c r="P26" s="35">
        <f t="shared" si="1"/>
        <v>0</v>
      </c>
    </row>
    <row r="27" spans="1:16" x14ac:dyDescent="0.2">
      <c r="A27" s="25" t="s">
        <v>63</v>
      </c>
      <c r="B27" s="17" t="s">
        <v>114</v>
      </c>
      <c r="C27" s="123" t="s">
        <v>133</v>
      </c>
      <c r="D27" s="111"/>
      <c r="E27" s="111"/>
      <c r="F27" s="111"/>
      <c r="G27" s="111"/>
      <c r="H27" s="111"/>
      <c r="I27" s="111"/>
      <c r="J27" s="35">
        <f>'Stavební rozpočet'!J71</f>
        <v>605</v>
      </c>
      <c r="K27" s="35">
        <f>'Stavební rozpočet'!K71</f>
        <v>1677.2809999999999</v>
      </c>
      <c r="L27" s="38">
        <f>'Stavební rozpočet'!L71</f>
        <v>2282.2809999999999</v>
      </c>
      <c r="M27" s="33" t="s">
        <v>100</v>
      </c>
      <c r="N27" s="35">
        <f t="shared" si="0"/>
        <v>2282.2809999999999</v>
      </c>
      <c r="O27" s="17" t="s">
        <v>63</v>
      </c>
      <c r="P27" s="35">
        <f t="shared" si="1"/>
        <v>0</v>
      </c>
    </row>
    <row r="28" spans="1:16" x14ac:dyDescent="0.2">
      <c r="A28" s="25" t="s">
        <v>63</v>
      </c>
      <c r="B28" s="17" t="s">
        <v>115</v>
      </c>
      <c r="C28" s="123" t="s">
        <v>134</v>
      </c>
      <c r="D28" s="111"/>
      <c r="E28" s="111"/>
      <c r="F28" s="111"/>
      <c r="G28" s="111"/>
      <c r="H28" s="111"/>
      <c r="I28" s="111"/>
      <c r="J28" s="35">
        <f>'Stavební rozpočet'!J82</f>
        <v>1182</v>
      </c>
      <c r="K28" s="35">
        <f>'Stavební rozpočet'!K82</f>
        <v>2824.94</v>
      </c>
      <c r="L28" s="38">
        <f>'Stavební rozpočet'!L82</f>
        <v>4006.94</v>
      </c>
      <c r="M28" s="33" t="s">
        <v>100</v>
      </c>
      <c r="N28" s="35">
        <f t="shared" si="0"/>
        <v>4006.94</v>
      </c>
      <c r="O28" s="17" t="s">
        <v>63</v>
      </c>
      <c r="P28" s="35">
        <f t="shared" si="1"/>
        <v>0</v>
      </c>
    </row>
    <row r="29" spans="1:16" x14ac:dyDescent="0.2">
      <c r="A29" s="25" t="s">
        <v>63</v>
      </c>
      <c r="B29" s="17" t="s">
        <v>116</v>
      </c>
      <c r="C29" s="123" t="s">
        <v>135</v>
      </c>
      <c r="D29" s="111"/>
      <c r="E29" s="111"/>
      <c r="F29" s="111"/>
      <c r="G29" s="111"/>
      <c r="H29" s="111"/>
      <c r="I29" s="111"/>
      <c r="J29" s="35">
        <f>'Stavební rozpočet'!J93</f>
        <v>172565</v>
      </c>
      <c r="K29" s="35">
        <f>'Stavební rozpočet'!K93</f>
        <v>3846.92</v>
      </c>
      <c r="L29" s="38">
        <f>'Stavební rozpočet'!L93</f>
        <v>176411.92</v>
      </c>
      <c r="M29" s="33" t="s">
        <v>100</v>
      </c>
      <c r="N29" s="35">
        <f t="shared" si="0"/>
        <v>176411.92</v>
      </c>
      <c r="O29" s="17" t="s">
        <v>63</v>
      </c>
      <c r="P29" s="35">
        <f t="shared" si="1"/>
        <v>0</v>
      </c>
    </row>
    <row r="30" spans="1:16" x14ac:dyDescent="0.2">
      <c r="A30" s="25" t="s">
        <v>63</v>
      </c>
      <c r="B30" s="17" t="s">
        <v>117</v>
      </c>
      <c r="C30" s="123" t="s">
        <v>136</v>
      </c>
      <c r="D30" s="111"/>
      <c r="E30" s="111"/>
      <c r="F30" s="111"/>
      <c r="G30" s="111"/>
      <c r="H30" s="111"/>
      <c r="I30" s="111"/>
      <c r="J30" s="35">
        <f>'Stavební rozpočet'!J118</f>
        <v>91013</v>
      </c>
      <c r="K30" s="35">
        <f>'Stavební rozpočet'!K118</f>
        <v>44035.002</v>
      </c>
      <c r="L30" s="38">
        <f>'Stavební rozpočet'!L118</f>
        <v>135048.00200000001</v>
      </c>
      <c r="M30" s="33" t="s">
        <v>100</v>
      </c>
      <c r="N30" s="35">
        <f t="shared" si="0"/>
        <v>135048.00200000001</v>
      </c>
      <c r="O30" s="17" t="s">
        <v>63</v>
      </c>
      <c r="P30" s="35">
        <f t="shared" si="1"/>
        <v>0</v>
      </c>
    </row>
    <row r="31" spans="1:16" x14ac:dyDescent="0.2">
      <c r="A31" s="25" t="s">
        <v>63</v>
      </c>
      <c r="B31" s="17" t="s">
        <v>118</v>
      </c>
      <c r="C31" s="123" t="s">
        <v>43</v>
      </c>
      <c r="D31" s="111"/>
      <c r="E31" s="111"/>
      <c r="F31" s="111"/>
      <c r="G31" s="111"/>
      <c r="H31" s="111"/>
      <c r="I31" s="111"/>
      <c r="J31" s="35">
        <f>'Stavební rozpočet'!J223</f>
        <v>0</v>
      </c>
      <c r="K31" s="35">
        <f>'Stavební rozpočet'!K223</f>
        <v>26250</v>
      </c>
      <c r="L31" s="38">
        <f>'Stavební rozpočet'!L223</f>
        <v>26250</v>
      </c>
      <c r="M31" s="33" t="s">
        <v>100</v>
      </c>
      <c r="N31" s="35">
        <f t="shared" si="0"/>
        <v>26250</v>
      </c>
      <c r="O31" s="17" t="s">
        <v>63</v>
      </c>
      <c r="P31" s="35">
        <f t="shared" si="1"/>
        <v>0</v>
      </c>
    </row>
    <row r="32" spans="1:16" x14ac:dyDescent="0.2">
      <c r="A32" s="25" t="s">
        <v>64</v>
      </c>
      <c r="B32" s="17"/>
      <c r="C32" s="123" t="s">
        <v>71</v>
      </c>
      <c r="D32" s="111"/>
      <c r="E32" s="111"/>
      <c r="F32" s="111"/>
      <c r="G32" s="111"/>
      <c r="H32" s="111"/>
      <c r="I32" s="111"/>
      <c r="J32" s="35">
        <f>'Stavební rozpočet'!J238</f>
        <v>267415</v>
      </c>
      <c r="K32" s="35">
        <f>'Stavební rozpočet'!K238</f>
        <v>90358.05</v>
      </c>
      <c r="L32" s="38">
        <f>'Stavební rozpočet'!L238</f>
        <v>357773.05000000005</v>
      </c>
      <c r="M32" s="33" t="s">
        <v>81</v>
      </c>
      <c r="N32" s="35">
        <f t="shared" si="0"/>
        <v>0</v>
      </c>
      <c r="O32" s="17" t="s">
        <v>64</v>
      </c>
      <c r="P32" s="35">
        <f t="shared" si="1"/>
        <v>357773.05000000005</v>
      </c>
    </row>
    <row r="33" spans="1:16" x14ac:dyDescent="0.2">
      <c r="A33" s="25" t="s">
        <v>64</v>
      </c>
      <c r="B33" s="17" t="s">
        <v>102</v>
      </c>
      <c r="C33" s="123" t="s">
        <v>121</v>
      </c>
      <c r="D33" s="111"/>
      <c r="E33" s="111"/>
      <c r="F33" s="111"/>
      <c r="G33" s="111"/>
      <c r="H33" s="111"/>
      <c r="I33" s="111"/>
      <c r="J33" s="35">
        <f>'Stavební rozpočet'!J239</f>
        <v>4060</v>
      </c>
      <c r="K33" s="35">
        <f>'Stavební rozpočet'!K239</f>
        <v>9713.9069999999992</v>
      </c>
      <c r="L33" s="38">
        <f>'Stavební rozpočet'!L239</f>
        <v>13773.906999999999</v>
      </c>
      <c r="M33" s="33" t="s">
        <v>100</v>
      </c>
      <c r="N33" s="35">
        <f t="shared" si="0"/>
        <v>13773.906999999999</v>
      </c>
      <c r="O33" s="17" t="s">
        <v>64</v>
      </c>
      <c r="P33" s="35">
        <f t="shared" si="1"/>
        <v>0</v>
      </c>
    </row>
    <row r="34" spans="1:16" x14ac:dyDescent="0.2">
      <c r="A34" s="25" t="s">
        <v>64</v>
      </c>
      <c r="B34" s="17" t="s">
        <v>114</v>
      </c>
      <c r="C34" s="123" t="s">
        <v>133</v>
      </c>
      <c r="D34" s="111"/>
      <c r="E34" s="111"/>
      <c r="F34" s="111"/>
      <c r="G34" s="111"/>
      <c r="H34" s="111"/>
      <c r="I34" s="111"/>
      <c r="J34" s="35">
        <f>'Stavební rozpočet'!J246</f>
        <v>605</v>
      </c>
      <c r="K34" s="35">
        <f>'Stavební rozpočet'!K246</f>
        <v>1677.2809999999999</v>
      </c>
      <c r="L34" s="38">
        <f>'Stavební rozpočet'!L246</f>
        <v>2282.2809999999999</v>
      </c>
      <c r="M34" s="33" t="s">
        <v>100</v>
      </c>
      <c r="N34" s="35">
        <f t="shared" si="0"/>
        <v>2282.2809999999999</v>
      </c>
      <c r="O34" s="17" t="s">
        <v>64</v>
      </c>
      <c r="P34" s="35">
        <f t="shared" si="1"/>
        <v>0</v>
      </c>
    </row>
    <row r="35" spans="1:16" x14ac:dyDescent="0.2">
      <c r="A35" s="25" t="s">
        <v>64</v>
      </c>
      <c r="B35" s="17" t="s">
        <v>115</v>
      </c>
      <c r="C35" s="123" t="s">
        <v>134</v>
      </c>
      <c r="D35" s="111"/>
      <c r="E35" s="111"/>
      <c r="F35" s="111"/>
      <c r="G35" s="111"/>
      <c r="H35" s="111"/>
      <c r="I35" s="111"/>
      <c r="J35" s="35">
        <f>'Stavební rozpočet'!J257</f>
        <v>1182</v>
      </c>
      <c r="K35" s="35">
        <f>'Stavební rozpočet'!K257</f>
        <v>304.94</v>
      </c>
      <c r="L35" s="38">
        <f>'Stavební rozpočet'!L257</f>
        <v>1486.94</v>
      </c>
      <c r="M35" s="33" t="s">
        <v>100</v>
      </c>
      <c r="N35" s="35">
        <f t="shared" si="0"/>
        <v>1486.94</v>
      </c>
      <c r="O35" s="17" t="s">
        <v>64</v>
      </c>
      <c r="P35" s="35">
        <f t="shared" si="1"/>
        <v>0</v>
      </c>
    </row>
    <row r="36" spans="1:16" x14ac:dyDescent="0.2">
      <c r="A36" s="25" t="s">
        <v>64</v>
      </c>
      <c r="B36" s="17" t="s">
        <v>116</v>
      </c>
      <c r="C36" s="123" t="s">
        <v>135</v>
      </c>
      <c r="D36" s="111"/>
      <c r="E36" s="111"/>
      <c r="F36" s="111"/>
      <c r="G36" s="111"/>
      <c r="H36" s="111"/>
      <c r="I36" s="111"/>
      <c r="J36" s="35">
        <f>'Stavební rozpočet'!J266</f>
        <v>172565</v>
      </c>
      <c r="K36" s="35">
        <f>'Stavební rozpočet'!K266</f>
        <v>6366.92</v>
      </c>
      <c r="L36" s="38">
        <f>'Stavební rozpočet'!L266</f>
        <v>178931.92</v>
      </c>
      <c r="M36" s="33" t="s">
        <v>100</v>
      </c>
      <c r="N36" s="35">
        <f t="shared" si="0"/>
        <v>178931.92</v>
      </c>
      <c r="O36" s="17" t="s">
        <v>64</v>
      </c>
      <c r="P36" s="35">
        <f t="shared" si="1"/>
        <v>0</v>
      </c>
    </row>
    <row r="37" spans="1:16" x14ac:dyDescent="0.2">
      <c r="A37" s="25" t="s">
        <v>64</v>
      </c>
      <c r="B37" s="17" t="s">
        <v>117</v>
      </c>
      <c r="C37" s="123" t="s">
        <v>136</v>
      </c>
      <c r="D37" s="111"/>
      <c r="E37" s="111"/>
      <c r="F37" s="111"/>
      <c r="G37" s="111"/>
      <c r="H37" s="111"/>
      <c r="I37" s="111"/>
      <c r="J37" s="35">
        <f>'Stavební rozpočet'!J293</f>
        <v>89003</v>
      </c>
      <c r="K37" s="35">
        <f>'Stavební rozpočet'!K293</f>
        <v>46045.002</v>
      </c>
      <c r="L37" s="38">
        <f>'Stavební rozpočet'!L293</f>
        <v>135048.00200000001</v>
      </c>
      <c r="M37" s="33" t="s">
        <v>100</v>
      </c>
      <c r="N37" s="35">
        <f t="shared" si="0"/>
        <v>135048.00200000001</v>
      </c>
      <c r="O37" s="17" t="s">
        <v>64</v>
      </c>
      <c r="P37" s="35">
        <f t="shared" si="1"/>
        <v>0</v>
      </c>
    </row>
    <row r="38" spans="1:16" x14ac:dyDescent="0.2">
      <c r="A38" s="25" t="s">
        <v>64</v>
      </c>
      <c r="B38" s="17" t="s">
        <v>118</v>
      </c>
      <c r="C38" s="123" t="s">
        <v>43</v>
      </c>
      <c r="D38" s="111"/>
      <c r="E38" s="111"/>
      <c r="F38" s="111"/>
      <c r="G38" s="111"/>
      <c r="H38" s="111"/>
      <c r="I38" s="111"/>
      <c r="J38" s="35">
        <f>'Stavební rozpočet'!J398</f>
        <v>0</v>
      </c>
      <c r="K38" s="35">
        <f>'Stavební rozpočet'!K398</f>
        <v>26250</v>
      </c>
      <c r="L38" s="38">
        <f>'Stavební rozpočet'!L398</f>
        <v>26250</v>
      </c>
      <c r="M38" s="33" t="s">
        <v>100</v>
      </c>
      <c r="N38" s="35">
        <f t="shared" si="0"/>
        <v>26250</v>
      </c>
      <c r="O38" s="17" t="s">
        <v>64</v>
      </c>
      <c r="P38" s="35">
        <f t="shared" si="1"/>
        <v>0</v>
      </c>
    </row>
    <row r="39" spans="1:16" x14ac:dyDescent="0.2">
      <c r="A39" s="25" t="s">
        <v>65</v>
      </c>
      <c r="B39" s="17"/>
      <c r="C39" s="123" t="s">
        <v>72</v>
      </c>
      <c r="D39" s="111"/>
      <c r="E39" s="111"/>
      <c r="F39" s="111"/>
      <c r="G39" s="111"/>
      <c r="H39" s="111"/>
      <c r="I39" s="111"/>
      <c r="J39" s="35">
        <f>'Stavební rozpočet'!J413</f>
        <v>256418</v>
      </c>
      <c r="K39" s="35">
        <f>'Stavební rozpočet'!K413</f>
        <v>93268.05</v>
      </c>
      <c r="L39" s="38">
        <f>'Stavební rozpočet'!L413</f>
        <v>349686.05</v>
      </c>
      <c r="M39" s="33" t="s">
        <v>81</v>
      </c>
      <c r="N39" s="35">
        <f t="shared" si="0"/>
        <v>0</v>
      </c>
      <c r="O39" s="17" t="s">
        <v>65</v>
      </c>
      <c r="P39" s="35">
        <f t="shared" si="1"/>
        <v>349686.05</v>
      </c>
    </row>
    <row r="40" spans="1:16" x14ac:dyDescent="0.2">
      <c r="A40" s="25" t="s">
        <v>65</v>
      </c>
      <c r="B40" s="17" t="s">
        <v>102</v>
      </c>
      <c r="C40" s="123" t="s">
        <v>121</v>
      </c>
      <c r="D40" s="111"/>
      <c r="E40" s="111"/>
      <c r="F40" s="111"/>
      <c r="G40" s="111"/>
      <c r="H40" s="111"/>
      <c r="I40" s="111"/>
      <c r="J40" s="35">
        <f>'Stavební rozpočet'!J414</f>
        <v>4060</v>
      </c>
      <c r="K40" s="35">
        <f>'Stavební rozpočet'!K414</f>
        <v>9713.9069999999992</v>
      </c>
      <c r="L40" s="38">
        <f>'Stavební rozpočet'!L414</f>
        <v>13773.906999999999</v>
      </c>
      <c r="M40" s="33" t="s">
        <v>100</v>
      </c>
      <c r="N40" s="35">
        <f t="shared" si="0"/>
        <v>13773.906999999999</v>
      </c>
      <c r="O40" s="17" t="s">
        <v>65</v>
      </c>
      <c r="P40" s="35">
        <f t="shared" si="1"/>
        <v>0</v>
      </c>
    </row>
    <row r="41" spans="1:16" x14ac:dyDescent="0.2">
      <c r="A41" s="25" t="s">
        <v>65</v>
      </c>
      <c r="B41" s="17" t="s">
        <v>114</v>
      </c>
      <c r="C41" s="123" t="s">
        <v>133</v>
      </c>
      <c r="D41" s="111"/>
      <c r="E41" s="111"/>
      <c r="F41" s="111"/>
      <c r="G41" s="111"/>
      <c r="H41" s="111"/>
      <c r="I41" s="111"/>
      <c r="J41" s="35">
        <f>'Stavební rozpočet'!J421</f>
        <v>605</v>
      </c>
      <c r="K41" s="35">
        <f>'Stavební rozpočet'!K421</f>
        <v>1677.2809999999999</v>
      </c>
      <c r="L41" s="38">
        <f>'Stavební rozpočet'!L421</f>
        <v>2282.2809999999999</v>
      </c>
      <c r="M41" s="33" t="s">
        <v>100</v>
      </c>
      <c r="N41" s="35">
        <f t="shared" si="0"/>
        <v>2282.2809999999999</v>
      </c>
      <c r="O41" s="17" t="s">
        <v>65</v>
      </c>
      <c r="P41" s="35">
        <f t="shared" si="1"/>
        <v>0</v>
      </c>
    </row>
    <row r="42" spans="1:16" x14ac:dyDescent="0.2">
      <c r="A42" s="25" t="s">
        <v>65</v>
      </c>
      <c r="B42" s="17" t="s">
        <v>115</v>
      </c>
      <c r="C42" s="123" t="s">
        <v>134</v>
      </c>
      <c r="D42" s="111"/>
      <c r="E42" s="111"/>
      <c r="F42" s="111"/>
      <c r="G42" s="111"/>
      <c r="H42" s="111"/>
      <c r="I42" s="111"/>
      <c r="J42" s="35">
        <f>'Stavební rozpočet'!J432</f>
        <v>1182</v>
      </c>
      <c r="K42" s="35">
        <f>'Stavební rozpočet'!K432</f>
        <v>304.94</v>
      </c>
      <c r="L42" s="38">
        <f>'Stavební rozpočet'!L432</f>
        <v>1486.94</v>
      </c>
      <c r="M42" s="33" t="s">
        <v>100</v>
      </c>
      <c r="N42" s="35">
        <f t="shared" si="0"/>
        <v>1486.94</v>
      </c>
      <c r="O42" s="17" t="s">
        <v>65</v>
      </c>
      <c r="P42" s="35">
        <f t="shared" si="1"/>
        <v>0</v>
      </c>
    </row>
    <row r="43" spans="1:16" x14ac:dyDescent="0.2">
      <c r="A43" s="25" t="s">
        <v>65</v>
      </c>
      <c r="B43" s="17" t="s">
        <v>116</v>
      </c>
      <c r="C43" s="123" t="s">
        <v>135</v>
      </c>
      <c r="D43" s="111"/>
      <c r="E43" s="111"/>
      <c r="F43" s="111"/>
      <c r="G43" s="111"/>
      <c r="H43" s="111"/>
      <c r="I43" s="111"/>
      <c r="J43" s="35">
        <f>'Stavební rozpočet'!J441</f>
        <v>172565</v>
      </c>
      <c r="K43" s="35">
        <f>'Stavební rozpočet'!K441</f>
        <v>6366.92</v>
      </c>
      <c r="L43" s="38">
        <f>'Stavební rozpočet'!L441</f>
        <v>178931.92</v>
      </c>
      <c r="M43" s="33" t="s">
        <v>100</v>
      </c>
      <c r="N43" s="35">
        <f t="shared" si="0"/>
        <v>178931.92</v>
      </c>
      <c r="O43" s="17" t="s">
        <v>65</v>
      </c>
      <c r="P43" s="35">
        <f t="shared" si="1"/>
        <v>0</v>
      </c>
    </row>
    <row r="44" spans="1:16" x14ac:dyDescent="0.2">
      <c r="A44" s="25" t="s">
        <v>65</v>
      </c>
      <c r="B44" s="17" t="s">
        <v>117</v>
      </c>
      <c r="C44" s="123" t="s">
        <v>136</v>
      </c>
      <c r="D44" s="111"/>
      <c r="E44" s="111"/>
      <c r="F44" s="111"/>
      <c r="G44" s="111"/>
      <c r="H44" s="111"/>
      <c r="I44" s="111"/>
      <c r="J44" s="35">
        <f>'Stavební rozpočet'!J468</f>
        <v>78006</v>
      </c>
      <c r="K44" s="35">
        <f>'Stavební rozpočet'!K468</f>
        <v>48955.002</v>
      </c>
      <c r="L44" s="38">
        <f>'Stavební rozpočet'!L468</f>
        <v>126961.00199999999</v>
      </c>
      <c r="M44" s="33" t="s">
        <v>100</v>
      </c>
      <c r="N44" s="35">
        <f t="shared" si="0"/>
        <v>126961.00199999999</v>
      </c>
      <c r="O44" s="17" t="s">
        <v>65</v>
      </c>
      <c r="P44" s="35">
        <f t="shared" si="1"/>
        <v>0</v>
      </c>
    </row>
    <row r="45" spans="1:16" x14ac:dyDescent="0.2">
      <c r="A45" s="25" t="s">
        <v>65</v>
      </c>
      <c r="B45" s="17" t="s">
        <v>118</v>
      </c>
      <c r="C45" s="123" t="s">
        <v>43</v>
      </c>
      <c r="D45" s="111"/>
      <c r="E45" s="111"/>
      <c r="F45" s="111"/>
      <c r="G45" s="111"/>
      <c r="H45" s="111"/>
      <c r="I45" s="111"/>
      <c r="J45" s="35">
        <f>'Stavební rozpočet'!J573</f>
        <v>0</v>
      </c>
      <c r="K45" s="35">
        <f>'Stavební rozpočet'!K573</f>
        <v>26250</v>
      </c>
      <c r="L45" s="38">
        <f>'Stavební rozpočet'!L573</f>
        <v>26250</v>
      </c>
      <c r="M45" s="33" t="s">
        <v>100</v>
      </c>
      <c r="N45" s="35">
        <f t="shared" si="0"/>
        <v>26250</v>
      </c>
      <c r="O45" s="17" t="s">
        <v>65</v>
      </c>
      <c r="P45" s="35">
        <f t="shared" si="1"/>
        <v>0</v>
      </c>
    </row>
    <row r="46" spans="1:16" x14ac:dyDescent="0.2">
      <c r="A46" s="25" t="s">
        <v>66</v>
      </c>
      <c r="B46" s="17"/>
      <c r="C46" s="123" t="s">
        <v>73</v>
      </c>
      <c r="D46" s="111"/>
      <c r="E46" s="111"/>
      <c r="F46" s="111"/>
      <c r="G46" s="111"/>
      <c r="H46" s="111"/>
      <c r="I46" s="111"/>
      <c r="J46" s="35">
        <f>'Stavební rozpočet'!J588</f>
        <v>269051</v>
      </c>
      <c r="K46" s="35">
        <f>'Stavební rozpočet'!K588</f>
        <v>88348.05</v>
      </c>
      <c r="L46" s="38">
        <f>'Stavební rozpočet'!L588</f>
        <v>357399.05000000005</v>
      </c>
      <c r="M46" s="33" t="s">
        <v>81</v>
      </c>
      <c r="N46" s="35">
        <f t="shared" si="0"/>
        <v>0</v>
      </c>
      <c r="O46" s="17" t="s">
        <v>66</v>
      </c>
      <c r="P46" s="35">
        <f t="shared" si="1"/>
        <v>357399.05000000005</v>
      </c>
    </row>
    <row r="47" spans="1:16" x14ac:dyDescent="0.2">
      <c r="A47" s="25" t="s">
        <v>66</v>
      </c>
      <c r="B47" s="17" t="s">
        <v>102</v>
      </c>
      <c r="C47" s="123" t="s">
        <v>121</v>
      </c>
      <c r="D47" s="111"/>
      <c r="E47" s="111"/>
      <c r="F47" s="111"/>
      <c r="G47" s="111"/>
      <c r="H47" s="111"/>
      <c r="I47" s="111"/>
      <c r="J47" s="35">
        <f>'Stavební rozpočet'!J589</f>
        <v>4060</v>
      </c>
      <c r="K47" s="35">
        <f>'Stavební rozpočet'!K589</f>
        <v>9713.9069999999992</v>
      </c>
      <c r="L47" s="38">
        <f>'Stavební rozpočet'!L589</f>
        <v>13773.906999999999</v>
      </c>
      <c r="M47" s="33" t="s">
        <v>100</v>
      </c>
      <c r="N47" s="35">
        <f t="shared" si="0"/>
        <v>13773.906999999999</v>
      </c>
      <c r="O47" s="17" t="s">
        <v>66</v>
      </c>
      <c r="P47" s="35">
        <f t="shared" si="1"/>
        <v>0</v>
      </c>
    </row>
    <row r="48" spans="1:16" x14ac:dyDescent="0.2">
      <c r="A48" s="25" t="s">
        <v>66</v>
      </c>
      <c r="B48" s="17" t="s">
        <v>114</v>
      </c>
      <c r="C48" s="123" t="s">
        <v>133</v>
      </c>
      <c r="D48" s="111"/>
      <c r="E48" s="111"/>
      <c r="F48" s="111"/>
      <c r="G48" s="111"/>
      <c r="H48" s="111"/>
      <c r="I48" s="111"/>
      <c r="J48" s="35">
        <f>'Stavební rozpočet'!J596</f>
        <v>605</v>
      </c>
      <c r="K48" s="35">
        <f>'Stavební rozpočet'!K596</f>
        <v>1677.2809999999999</v>
      </c>
      <c r="L48" s="38">
        <f>'Stavební rozpočet'!L596</f>
        <v>2282.2809999999999</v>
      </c>
      <c r="M48" s="33" t="s">
        <v>100</v>
      </c>
      <c r="N48" s="35">
        <f t="shared" si="0"/>
        <v>2282.2809999999999</v>
      </c>
      <c r="O48" s="17" t="s">
        <v>66</v>
      </c>
      <c r="P48" s="35">
        <f t="shared" si="1"/>
        <v>0</v>
      </c>
    </row>
    <row r="49" spans="1:16" x14ac:dyDescent="0.2">
      <c r="A49" s="25" t="s">
        <v>66</v>
      </c>
      <c r="B49" s="17" t="s">
        <v>115</v>
      </c>
      <c r="C49" s="123" t="s">
        <v>134</v>
      </c>
      <c r="D49" s="111"/>
      <c r="E49" s="111"/>
      <c r="F49" s="111"/>
      <c r="G49" s="111"/>
      <c r="H49" s="111"/>
      <c r="I49" s="111"/>
      <c r="J49" s="35">
        <f>'Stavební rozpočet'!J607</f>
        <v>1182</v>
      </c>
      <c r="K49" s="35">
        <f>'Stavební rozpočet'!K607</f>
        <v>304.94</v>
      </c>
      <c r="L49" s="38">
        <f>'Stavební rozpočet'!L607</f>
        <v>1486.94</v>
      </c>
      <c r="M49" s="33" t="s">
        <v>100</v>
      </c>
      <c r="N49" s="35">
        <f t="shared" si="0"/>
        <v>1486.94</v>
      </c>
      <c r="O49" s="17" t="s">
        <v>66</v>
      </c>
      <c r="P49" s="35">
        <f t="shared" si="1"/>
        <v>0</v>
      </c>
    </row>
    <row r="50" spans="1:16" x14ac:dyDescent="0.2">
      <c r="A50" s="25" t="s">
        <v>66</v>
      </c>
      <c r="B50" s="17" t="s">
        <v>116</v>
      </c>
      <c r="C50" s="123" t="s">
        <v>135</v>
      </c>
      <c r="D50" s="111"/>
      <c r="E50" s="111"/>
      <c r="F50" s="111"/>
      <c r="G50" s="111"/>
      <c r="H50" s="111"/>
      <c r="I50" s="111"/>
      <c r="J50" s="35">
        <f>'Stavební rozpočet'!J616</f>
        <v>172565</v>
      </c>
      <c r="K50" s="35">
        <f>'Stavební rozpočet'!K616</f>
        <v>6366.92</v>
      </c>
      <c r="L50" s="38">
        <f>'Stavební rozpočet'!L616</f>
        <v>178931.92</v>
      </c>
      <c r="M50" s="33" t="s">
        <v>100</v>
      </c>
      <c r="N50" s="35">
        <f t="shared" si="0"/>
        <v>178931.92</v>
      </c>
      <c r="O50" s="17" t="s">
        <v>66</v>
      </c>
      <c r="P50" s="35">
        <f t="shared" si="1"/>
        <v>0</v>
      </c>
    </row>
    <row r="51" spans="1:16" x14ac:dyDescent="0.2">
      <c r="A51" s="25" t="s">
        <v>66</v>
      </c>
      <c r="B51" s="17" t="s">
        <v>117</v>
      </c>
      <c r="C51" s="123" t="s">
        <v>136</v>
      </c>
      <c r="D51" s="111"/>
      <c r="E51" s="111"/>
      <c r="F51" s="111"/>
      <c r="G51" s="111"/>
      <c r="H51" s="111"/>
      <c r="I51" s="111"/>
      <c r="J51" s="35">
        <f>'Stavební rozpočet'!J643</f>
        <v>90639</v>
      </c>
      <c r="K51" s="35">
        <f>'Stavební rozpočet'!K643</f>
        <v>44035.002</v>
      </c>
      <c r="L51" s="38">
        <f>'Stavební rozpočet'!L643</f>
        <v>134674.00200000001</v>
      </c>
      <c r="M51" s="33" t="s">
        <v>100</v>
      </c>
      <c r="N51" s="35">
        <f t="shared" si="0"/>
        <v>134674.00200000001</v>
      </c>
      <c r="O51" s="17" t="s">
        <v>66</v>
      </c>
      <c r="P51" s="35">
        <f t="shared" si="1"/>
        <v>0</v>
      </c>
    </row>
    <row r="52" spans="1:16" x14ac:dyDescent="0.2">
      <c r="A52" s="25" t="s">
        <v>66</v>
      </c>
      <c r="B52" s="17" t="s">
        <v>118</v>
      </c>
      <c r="C52" s="123" t="s">
        <v>43</v>
      </c>
      <c r="D52" s="111"/>
      <c r="E52" s="111"/>
      <c r="F52" s="111"/>
      <c r="G52" s="111"/>
      <c r="H52" s="111"/>
      <c r="I52" s="111"/>
      <c r="J52" s="35">
        <f>'Stavební rozpočet'!J748</f>
        <v>0</v>
      </c>
      <c r="K52" s="35">
        <f>'Stavební rozpočet'!K748</f>
        <v>26250</v>
      </c>
      <c r="L52" s="38">
        <f>'Stavební rozpočet'!L748</f>
        <v>26250</v>
      </c>
      <c r="M52" s="33" t="s">
        <v>100</v>
      </c>
      <c r="N52" s="35">
        <f t="shared" si="0"/>
        <v>26250</v>
      </c>
      <c r="O52" s="17" t="s">
        <v>66</v>
      </c>
      <c r="P52" s="35">
        <f t="shared" si="1"/>
        <v>0</v>
      </c>
    </row>
    <row r="53" spans="1:16" x14ac:dyDescent="0.2">
      <c r="A53" s="25" t="s">
        <v>67</v>
      </c>
      <c r="B53" s="17"/>
      <c r="C53" s="123" t="s">
        <v>74</v>
      </c>
      <c r="D53" s="111"/>
      <c r="E53" s="111"/>
      <c r="F53" s="111"/>
      <c r="G53" s="111"/>
      <c r="H53" s="111"/>
      <c r="I53" s="111"/>
      <c r="J53" s="35">
        <f>'Stavební rozpočet'!J763</f>
        <v>18008</v>
      </c>
      <c r="K53" s="35">
        <f>'Stavební rozpočet'!K763</f>
        <v>23167.239999999998</v>
      </c>
      <c r="L53" s="38">
        <f>'Stavební rozpočet'!L763</f>
        <v>41175.24</v>
      </c>
      <c r="M53" s="33" t="s">
        <v>81</v>
      </c>
      <c r="N53" s="35">
        <f t="shared" si="0"/>
        <v>0</v>
      </c>
      <c r="O53" s="17" t="s">
        <v>67</v>
      </c>
      <c r="P53" s="35">
        <f t="shared" si="1"/>
        <v>41175.24</v>
      </c>
    </row>
    <row r="54" spans="1:16" x14ac:dyDescent="0.2">
      <c r="A54" s="25" t="s">
        <v>67</v>
      </c>
      <c r="B54" s="17" t="s">
        <v>119</v>
      </c>
      <c r="C54" s="123" t="s">
        <v>137</v>
      </c>
      <c r="D54" s="111"/>
      <c r="E54" s="111"/>
      <c r="F54" s="111"/>
      <c r="G54" s="111"/>
      <c r="H54" s="111"/>
      <c r="I54" s="111"/>
      <c r="J54" s="35">
        <f>'Stavební rozpočet'!J764</f>
        <v>18008</v>
      </c>
      <c r="K54" s="35">
        <f>'Stavební rozpočet'!K764</f>
        <v>20727</v>
      </c>
      <c r="L54" s="38">
        <f>'Stavební rozpočet'!L764</f>
        <v>38735</v>
      </c>
      <c r="M54" s="33" t="s">
        <v>100</v>
      </c>
      <c r="N54" s="35">
        <f t="shared" si="0"/>
        <v>38735</v>
      </c>
      <c r="O54" s="17" t="s">
        <v>67</v>
      </c>
      <c r="P54" s="35">
        <f t="shared" si="1"/>
        <v>0</v>
      </c>
    </row>
    <row r="55" spans="1:16" x14ac:dyDescent="0.2">
      <c r="A55" s="26" t="s">
        <v>67</v>
      </c>
      <c r="B55" s="29" t="s">
        <v>120</v>
      </c>
      <c r="C55" s="150" t="s">
        <v>138</v>
      </c>
      <c r="D55" s="122"/>
      <c r="E55" s="122"/>
      <c r="F55" s="122"/>
      <c r="G55" s="122"/>
      <c r="H55" s="122"/>
      <c r="I55" s="122"/>
      <c r="J55" s="36">
        <f>'Stavební rozpočet'!J784</f>
        <v>0</v>
      </c>
      <c r="K55" s="36">
        <f>'Stavební rozpočet'!K784</f>
        <v>2440.2399999999998</v>
      </c>
      <c r="L55" s="39">
        <f>'Stavební rozpočet'!L784</f>
        <v>2440.2399999999998</v>
      </c>
      <c r="M55" s="33" t="s">
        <v>100</v>
      </c>
      <c r="N55" s="35">
        <f t="shared" si="0"/>
        <v>2440.2399999999998</v>
      </c>
      <c r="O55" s="17" t="s">
        <v>67</v>
      </c>
      <c r="P55" s="35">
        <f t="shared" si="1"/>
        <v>0</v>
      </c>
    </row>
    <row r="56" spans="1:16" x14ac:dyDescent="0.2">
      <c r="A56" s="5"/>
      <c r="B56" s="5"/>
      <c r="C56" s="5"/>
      <c r="D56" s="5"/>
      <c r="E56" s="5"/>
      <c r="F56" s="5"/>
      <c r="G56" s="5"/>
      <c r="H56" s="5"/>
      <c r="I56" s="5"/>
      <c r="J56" s="151" t="s">
        <v>79</v>
      </c>
      <c r="K56" s="113"/>
      <c r="L56" s="40">
        <f>SUM(N12:N55)</f>
        <v>1738867.2113999997</v>
      </c>
    </row>
    <row r="57" spans="1:16" ht="11.25" customHeight="1" x14ac:dyDescent="0.2">
      <c r="A57" s="27" t="s">
        <v>18</v>
      </c>
    </row>
    <row r="58" spans="1:16" x14ac:dyDescent="0.2">
      <c r="A58" s="12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</sheetData>
  <sheetProtection sheet="1" objects="1" scenarios="1"/>
  <mergeCells count="74">
    <mergeCell ref="C48:I48"/>
    <mergeCell ref="C49:I49"/>
    <mergeCell ref="C50:I50"/>
    <mergeCell ref="A58:L58"/>
    <mergeCell ref="C51:I51"/>
    <mergeCell ref="C52:I52"/>
    <mergeCell ref="C53:I53"/>
    <mergeCell ref="C54:I54"/>
    <mergeCell ref="C55:I55"/>
    <mergeCell ref="J56:K56"/>
    <mergeCell ref="C43:I43"/>
    <mergeCell ref="C44:I44"/>
    <mergeCell ref="C45:I45"/>
    <mergeCell ref="C46:I46"/>
    <mergeCell ref="C47:I47"/>
    <mergeCell ref="C38:I38"/>
    <mergeCell ref="C39:I39"/>
    <mergeCell ref="C40:I40"/>
    <mergeCell ref="C41:I41"/>
    <mergeCell ref="C42:I42"/>
    <mergeCell ref="C33:I33"/>
    <mergeCell ref="C34:I34"/>
    <mergeCell ref="C35:I35"/>
    <mergeCell ref="C36:I36"/>
    <mergeCell ref="C37:I37"/>
    <mergeCell ref="C28:I28"/>
    <mergeCell ref="C29:I29"/>
    <mergeCell ref="C30:I30"/>
    <mergeCell ref="C31:I31"/>
    <mergeCell ref="C32:I32"/>
    <mergeCell ref="C23:I23"/>
    <mergeCell ref="C24:I24"/>
    <mergeCell ref="C25:I25"/>
    <mergeCell ref="C26:I26"/>
    <mergeCell ref="C27:I27"/>
    <mergeCell ref="C18:I18"/>
    <mergeCell ref="C19:I19"/>
    <mergeCell ref="C20:I20"/>
    <mergeCell ref="C21:I21"/>
    <mergeCell ref="C22:I22"/>
    <mergeCell ref="C13:I13"/>
    <mergeCell ref="C14:I14"/>
    <mergeCell ref="C15:I15"/>
    <mergeCell ref="C16:I16"/>
    <mergeCell ref="C17:I17"/>
    <mergeCell ref="J8:L9"/>
    <mergeCell ref="C10:I10"/>
    <mergeCell ref="J10:L10"/>
    <mergeCell ref="C11:I11"/>
    <mergeCell ref="C12:I12"/>
    <mergeCell ref="A8:C9"/>
    <mergeCell ref="D8:F9"/>
    <mergeCell ref="G8:G9"/>
    <mergeCell ref="H8:H9"/>
    <mergeCell ref="I8:I9"/>
    <mergeCell ref="J4:L5"/>
    <mergeCell ref="A6:C7"/>
    <mergeCell ref="D6:F7"/>
    <mergeCell ref="G6:G7"/>
    <mergeCell ref="H6:H7"/>
    <mergeCell ref="I6:I7"/>
    <mergeCell ref="J6:L7"/>
    <mergeCell ref="A4:C5"/>
    <mergeCell ref="D4:F5"/>
    <mergeCell ref="G4:G5"/>
    <mergeCell ref="H4:H5"/>
    <mergeCell ref="I4:I5"/>
    <mergeCell ref="A1:L1"/>
    <mergeCell ref="A2:C3"/>
    <mergeCell ref="D2:F3"/>
    <mergeCell ref="G2:G3"/>
    <mergeCell ref="H2:H3"/>
    <mergeCell ref="I2:I3"/>
    <mergeCell ref="J2:L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L789"/>
  <sheetViews>
    <sheetView workbookViewId="0">
      <pane ySplit="11" topLeftCell="A54" activePane="bottomLeft" state="frozenSplit"/>
      <selection pane="bottomLeft" activeCell="I786" sqref="I786"/>
    </sheetView>
  </sheetViews>
  <sheetFormatPr defaultColWidth="11.5703125" defaultRowHeight="12.75" x14ac:dyDescent="0.2"/>
  <cols>
    <col min="1" max="1" width="3.7109375" customWidth="1"/>
    <col min="2" max="2" width="7.5703125" customWidth="1"/>
    <col min="3" max="3" width="14.28515625" customWidth="1"/>
    <col min="4" max="4" width="103.7109375" customWidth="1"/>
    <col min="7" max="7" width="8.85546875" customWidth="1"/>
    <col min="8" max="8" width="12.85546875" customWidth="1"/>
    <col min="9" max="9" width="12" customWidth="1"/>
    <col min="10" max="12" width="14.28515625" customWidth="1"/>
    <col min="13" max="13" width="15" customWidth="1"/>
    <col min="25" max="64" width="12.140625" hidden="1" customWidth="1"/>
  </cols>
  <sheetData>
    <row r="1" spans="1:64" ht="72.95" customHeight="1" x14ac:dyDescent="0.35">
      <c r="A1" s="145" t="s">
        <v>139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64" x14ac:dyDescent="0.2">
      <c r="A2" s="108" t="s">
        <v>0</v>
      </c>
      <c r="B2" s="109"/>
      <c r="C2" s="109"/>
      <c r="D2" s="112" t="s">
        <v>826</v>
      </c>
      <c r="E2" s="162" t="s">
        <v>75</v>
      </c>
      <c r="F2" s="109"/>
      <c r="G2" s="162" t="s">
        <v>60</v>
      </c>
      <c r="H2" s="109"/>
      <c r="I2" s="163" t="s">
        <v>32</v>
      </c>
      <c r="J2" s="163" t="s">
        <v>1013</v>
      </c>
      <c r="K2" s="109"/>
      <c r="L2" s="109"/>
      <c r="M2" s="146"/>
      <c r="N2" s="19"/>
    </row>
    <row r="3" spans="1:64" x14ac:dyDescent="0.2">
      <c r="A3" s="110"/>
      <c r="B3" s="111"/>
      <c r="C3" s="111"/>
      <c r="D3" s="114"/>
      <c r="E3" s="111"/>
      <c r="F3" s="111"/>
      <c r="G3" s="111"/>
      <c r="H3" s="111"/>
      <c r="I3" s="164"/>
      <c r="J3" s="164"/>
      <c r="K3" s="111"/>
      <c r="L3" s="111"/>
      <c r="M3" s="117"/>
      <c r="N3" s="19"/>
    </row>
    <row r="4" spans="1:64" x14ac:dyDescent="0.2">
      <c r="A4" s="119" t="s">
        <v>1</v>
      </c>
      <c r="B4" s="111"/>
      <c r="C4" s="111"/>
      <c r="D4" s="120" t="s">
        <v>827</v>
      </c>
      <c r="E4" s="123" t="s">
        <v>3</v>
      </c>
      <c r="F4" s="111"/>
      <c r="G4" s="123" t="s">
        <v>60</v>
      </c>
      <c r="H4" s="111"/>
      <c r="I4" s="165" t="s">
        <v>33</v>
      </c>
      <c r="J4" s="165" t="s">
        <v>1014</v>
      </c>
      <c r="K4" s="111"/>
      <c r="L4" s="111"/>
      <c r="M4" s="117"/>
      <c r="N4" s="19"/>
    </row>
    <row r="5" spans="1:64" x14ac:dyDescent="0.2">
      <c r="A5" s="110"/>
      <c r="B5" s="111"/>
      <c r="C5" s="111"/>
      <c r="D5" s="111"/>
      <c r="E5" s="111"/>
      <c r="F5" s="111"/>
      <c r="G5" s="111"/>
      <c r="H5" s="111"/>
      <c r="I5" s="164"/>
      <c r="J5" s="164"/>
      <c r="K5" s="111"/>
      <c r="L5" s="111"/>
      <c r="M5" s="117"/>
      <c r="N5" s="19"/>
    </row>
    <row r="6" spans="1:64" x14ac:dyDescent="0.2">
      <c r="A6" s="119" t="s">
        <v>2</v>
      </c>
      <c r="B6" s="111"/>
      <c r="C6" s="111"/>
      <c r="D6" s="120" t="s">
        <v>828</v>
      </c>
      <c r="E6" s="123" t="s">
        <v>35</v>
      </c>
      <c r="F6" s="111"/>
      <c r="G6" s="123" t="s">
        <v>60</v>
      </c>
      <c r="H6" s="111"/>
      <c r="I6" s="165" t="s">
        <v>34</v>
      </c>
      <c r="J6" s="166" t="s">
        <v>1015</v>
      </c>
      <c r="K6" s="111"/>
      <c r="L6" s="164"/>
      <c r="M6" s="167"/>
      <c r="N6" s="19"/>
    </row>
    <row r="7" spans="1:64" x14ac:dyDescent="0.2">
      <c r="A7" s="110"/>
      <c r="B7" s="111"/>
      <c r="C7" s="111"/>
      <c r="D7" s="111"/>
      <c r="E7" s="111"/>
      <c r="F7" s="111"/>
      <c r="G7" s="111"/>
      <c r="H7" s="111"/>
      <c r="I7" s="164"/>
      <c r="J7" s="164"/>
      <c r="K7" s="111"/>
      <c r="L7" s="164"/>
      <c r="M7" s="167"/>
      <c r="N7" s="19"/>
    </row>
    <row r="8" spans="1:64" x14ac:dyDescent="0.2">
      <c r="A8" s="119" t="s">
        <v>4</v>
      </c>
      <c r="B8" s="111"/>
      <c r="C8" s="111"/>
      <c r="D8" s="120">
        <v>8013112</v>
      </c>
      <c r="E8" s="123" t="s">
        <v>76</v>
      </c>
      <c r="F8" s="111"/>
      <c r="G8" s="123" t="s">
        <v>992</v>
      </c>
      <c r="H8" s="111"/>
      <c r="I8" s="165" t="s">
        <v>36</v>
      </c>
      <c r="J8" s="165" t="s">
        <v>1016</v>
      </c>
      <c r="K8" s="111"/>
      <c r="L8" s="164"/>
      <c r="M8" s="167"/>
      <c r="N8" s="19"/>
    </row>
    <row r="9" spans="1:64" x14ac:dyDescent="0.2">
      <c r="A9" s="149"/>
      <c r="B9" s="147"/>
      <c r="C9" s="147"/>
      <c r="D9" s="147"/>
      <c r="E9" s="147"/>
      <c r="F9" s="147"/>
      <c r="G9" s="147"/>
      <c r="H9" s="147"/>
      <c r="I9" s="168"/>
      <c r="J9" s="168"/>
      <c r="K9" s="147"/>
      <c r="L9" s="168"/>
      <c r="M9" s="169"/>
      <c r="N9" s="19"/>
    </row>
    <row r="10" spans="1:64" x14ac:dyDescent="0.2">
      <c r="A10" s="43" t="s">
        <v>140</v>
      </c>
      <c r="B10" s="51" t="s">
        <v>61</v>
      </c>
      <c r="C10" s="51" t="s">
        <v>83</v>
      </c>
      <c r="D10" s="170" t="s">
        <v>829</v>
      </c>
      <c r="E10" s="171"/>
      <c r="F10" s="172"/>
      <c r="G10" s="51" t="s">
        <v>993</v>
      </c>
      <c r="H10" s="63" t="s">
        <v>1010</v>
      </c>
      <c r="I10" s="67" t="s">
        <v>1011</v>
      </c>
      <c r="J10" s="152" t="s">
        <v>77</v>
      </c>
      <c r="K10" s="153"/>
      <c r="L10" s="154"/>
      <c r="M10" s="75" t="s">
        <v>1017</v>
      </c>
      <c r="N10" s="20"/>
      <c r="BK10" s="83" t="s">
        <v>1085</v>
      </c>
      <c r="BL10" s="87" t="s">
        <v>1087</v>
      </c>
    </row>
    <row r="11" spans="1:64" x14ac:dyDescent="0.2">
      <c r="A11" s="44" t="s">
        <v>60</v>
      </c>
      <c r="B11" s="52" t="s">
        <v>60</v>
      </c>
      <c r="C11" s="52" t="s">
        <v>60</v>
      </c>
      <c r="D11" s="155" t="s">
        <v>830</v>
      </c>
      <c r="E11" s="156"/>
      <c r="F11" s="173"/>
      <c r="G11" s="52" t="s">
        <v>60</v>
      </c>
      <c r="H11" s="52" t="s">
        <v>60</v>
      </c>
      <c r="I11" s="68" t="s">
        <v>1012</v>
      </c>
      <c r="J11" s="30" t="s">
        <v>78</v>
      </c>
      <c r="K11" s="31" t="s">
        <v>21</v>
      </c>
      <c r="L11" s="32" t="s">
        <v>80</v>
      </c>
      <c r="M11" s="76" t="s">
        <v>1018</v>
      </c>
      <c r="N11" s="20"/>
      <c r="Z11" s="83" t="s">
        <v>1022</v>
      </c>
      <c r="AA11" s="83" t="s">
        <v>1023</v>
      </c>
      <c r="AB11" s="83" t="s">
        <v>1024</v>
      </c>
      <c r="AC11" s="83" t="s">
        <v>1025</v>
      </c>
      <c r="AD11" s="83" t="s">
        <v>1026</v>
      </c>
      <c r="AE11" s="83" t="s">
        <v>1027</v>
      </c>
      <c r="AF11" s="83" t="s">
        <v>1028</v>
      </c>
      <c r="AG11" s="83" t="s">
        <v>1029</v>
      </c>
      <c r="AH11" s="83" t="s">
        <v>1030</v>
      </c>
      <c r="BH11" s="83" t="s">
        <v>1082</v>
      </c>
      <c r="BI11" s="83" t="s">
        <v>1083</v>
      </c>
      <c r="BJ11" s="83" t="s">
        <v>1084</v>
      </c>
    </row>
    <row r="12" spans="1:64" x14ac:dyDescent="0.2">
      <c r="A12" s="45"/>
      <c r="B12" s="53" t="s">
        <v>62</v>
      </c>
      <c r="C12" s="53"/>
      <c r="D12" s="174" t="s">
        <v>69</v>
      </c>
      <c r="E12" s="175"/>
      <c r="F12" s="175"/>
      <c r="G12" s="60" t="s">
        <v>60</v>
      </c>
      <c r="H12" s="60" t="s">
        <v>60</v>
      </c>
      <c r="I12" s="69" t="s">
        <v>60</v>
      </c>
      <c r="J12" s="88">
        <f>J13+J17+J23+J26+J36+J39+J41+J43+J46+J48+J54+J56</f>
        <v>0</v>
      </c>
      <c r="K12" s="88">
        <f>K13+K17+K23+K26+K36+K39+K41+K43+K46+K48+K54+K56</f>
        <v>275060.77139999997</v>
      </c>
      <c r="L12" s="88">
        <f>L13+L17+L23+L26+L36+L39+L41+L43+L46+L48+L54+L56</f>
        <v>275060.77139999997</v>
      </c>
      <c r="M12" s="77"/>
      <c r="N12" s="19"/>
    </row>
    <row r="13" spans="1:64" x14ac:dyDescent="0.2">
      <c r="A13" s="46"/>
      <c r="B13" s="54" t="s">
        <v>62</v>
      </c>
      <c r="C13" s="54" t="s">
        <v>102</v>
      </c>
      <c r="D13" s="176" t="s">
        <v>121</v>
      </c>
      <c r="E13" s="177"/>
      <c r="F13" s="177"/>
      <c r="G13" s="61" t="s">
        <v>60</v>
      </c>
      <c r="H13" s="61" t="s">
        <v>60</v>
      </c>
      <c r="I13" s="70" t="s">
        <v>60</v>
      </c>
      <c r="J13" s="89">
        <f>SUM(J14:J16)</f>
        <v>0</v>
      </c>
      <c r="K13" s="89">
        <f>SUM(K14:K16)</f>
        <v>42899.140800000001</v>
      </c>
      <c r="L13" s="89">
        <f>SUM(L14:L16)</f>
        <v>42899.140800000001</v>
      </c>
      <c r="M13" s="78"/>
      <c r="N13" s="19"/>
      <c r="AI13" s="83" t="s">
        <v>62</v>
      </c>
      <c r="AS13" s="89">
        <f>SUM(AJ14:AJ16)</f>
        <v>0</v>
      </c>
      <c r="AT13" s="89">
        <f>SUM(AK14:AK16)</f>
        <v>0</v>
      </c>
      <c r="AU13" s="89">
        <f>SUM(AL14:AL16)</f>
        <v>42899.140800000001</v>
      </c>
    </row>
    <row r="14" spans="1:64" x14ac:dyDescent="0.2">
      <c r="A14" s="47" t="s">
        <v>141</v>
      </c>
      <c r="B14" s="55" t="s">
        <v>62</v>
      </c>
      <c r="C14" s="55" t="s">
        <v>514</v>
      </c>
      <c r="D14" s="178" t="s">
        <v>831</v>
      </c>
      <c r="E14" s="179"/>
      <c r="F14" s="179"/>
      <c r="G14" s="55" t="s">
        <v>994</v>
      </c>
      <c r="H14" s="64">
        <v>1.2</v>
      </c>
      <c r="I14" s="71">
        <v>119</v>
      </c>
      <c r="J14" s="64">
        <f>H14*AO14</f>
        <v>0</v>
      </c>
      <c r="K14" s="64">
        <f>H14*AP14</f>
        <v>142.79999999999998</v>
      </c>
      <c r="L14" s="64">
        <f>H14*I14</f>
        <v>142.79999999999998</v>
      </c>
      <c r="M14" s="79" t="s">
        <v>1019</v>
      </c>
      <c r="N14" s="19"/>
      <c r="Z14" s="35">
        <f>IF(AQ14="5",BJ14,0)</f>
        <v>0</v>
      </c>
      <c r="AB14" s="35">
        <f>IF(AQ14="1",BH14,0)</f>
        <v>0</v>
      </c>
      <c r="AC14" s="35">
        <f>IF(AQ14="1",BI14,0)</f>
        <v>0</v>
      </c>
      <c r="AD14" s="35">
        <f>IF(AQ14="7",BH14,0)</f>
        <v>0</v>
      </c>
      <c r="AE14" s="35">
        <f>IF(AQ14="7",BI14,0)</f>
        <v>142.79999999999998</v>
      </c>
      <c r="AF14" s="35">
        <f>IF(AQ14="2",BH14,0)</f>
        <v>0</v>
      </c>
      <c r="AG14" s="35">
        <f>IF(AQ14="2",BI14,0)</f>
        <v>0</v>
      </c>
      <c r="AH14" s="35">
        <f>IF(AQ14="0",BJ14,0)</f>
        <v>0</v>
      </c>
      <c r="AI14" s="83" t="s">
        <v>62</v>
      </c>
      <c r="AJ14" s="64">
        <f>IF(AN14=0,L14,0)</f>
        <v>0</v>
      </c>
      <c r="AK14" s="64">
        <f>IF(AN14=15,L14,0)</f>
        <v>0</v>
      </c>
      <c r="AL14" s="64">
        <f>IF(AN14=21,L14,0)</f>
        <v>142.79999999999998</v>
      </c>
      <c r="AN14" s="35">
        <v>21</v>
      </c>
      <c r="AO14" s="35">
        <f>I14*0</f>
        <v>0</v>
      </c>
      <c r="AP14" s="35">
        <f>I14*(1-0)</f>
        <v>119</v>
      </c>
      <c r="AQ14" s="84" t="s">
        <v>144</v>
      </c>
      <c r="AV14" s="35">
        <f>AW14+AX14</f>
        <v>142.79999999999998</v>
      </c>
      <c r="AW14" s="35">
        <f>H14*AO14</f>
        <v>0</v>
      </c>
      <c r="AX14" s="35">
        <f>H14*AP14</f>
        <v>142.79999999999998</v>
      </c>
      <c r="AY14" s="86" t="s">
        <v>1031</v>
      </c>
      <c r="AZ14" s="86" t="s">
        <v>1050</v>
      </c>
      <c r="BA14" s="83" t="s">
        <v>1076</v>
      </c>
      <c r="BC14" s="35">
        <f>AW14+AX14</f>
        <v>142.79999999999998</v>
      </c>
      <c r="BD14" s="35">
        <f>I14/(100-BE14)*100</f>
        <v>119</v>
      </c>
      <c r="BE14" s="35">
        <v>0</v>
      </c>
      <c r="BF14" s="35">
        <f>14</f>
        <v>14</v>
      </c>
      <c r="BH14" s="64">
        <f>H14*AO14</f>
        <v>0</v>
      </c>
      <c r="BI14" s="64">
        <f>H14*AP14</f>
        <v>142.79999999999998</v>
      </c>
      <c r="BJ14" s="64">
        <f>H14*I14</f>
        <v>142.79999999999998</v>
      </c>
      <c r="BK14" s="64" t="s">
        <v>1086</v>
      </c>
      <c r="BL14" s="35">
        <v>713</v>
      </c>
    </row>
    <row r="15" spans="1:64" x14ac:dyDescent="0.2">
      <c r="A15" s="47" t="s">
        <v>142</v>
      </c>
      <c r="B15" s="55" t="s">
        <v>62</v>
      </c>
      <c r="C15" s="55" t="s">
        <v>515</v>
      </c>
      <c r="D15" s="178" t="s">
        <v>832</v>
      </c>
      <c r="E15" s="179"/>
      <c r="F15" s="179"/>
      <c r="G15" s="55" t="s">
        <v>994</v>
      </c>
      <c r="H15" s="64">
        <v>120</v>
      </c>
      <c r="I15" s="71">
        <v>355</v>
      </c>
      <c r="J15" s="64">
        <f>H15*AO15</f>
        <v>0</v>
      </c>
      <c r="K15" s="64">
        <f>H15*AP15</f>
        <v>42600</v>
      </c>
      <c r="L15" s="64">
        <f>H15*I15</f>
        <v>42600</v>
      </c>
      <c r="M15" s="79" t="s">
        <v>1019</v>
      </c>
      <c r="N15" s="19"/>
      <c r="Z15" s="35">
        <f>IF(AQ15="5",BJ15,0)</f>
        <v>0</v>
      </c>
      <c r="AB15" s="35">
        <f>IF(AQ15="1",BH15,0)</f>
        <v>0</v>
      </c>
      <c r="AC15" s="35">
        <f>IF(AQ15="1",BI15,0)</f>
        <v>0</v>
      </c>
      <c r="AD15" s="35">
        <f>IF(AQ15="7",BH15,0)</f>
        <v>0</v>
      </c>
      <c r="AE15" s="35">
        <f>IF(AQ15="7",BI15,0)</f>
        <v>42600</v>
      </c>
      <c r="AF15" s="35">
        <f>IF(AQ15="2",BH15,0)</f>
        <v>0</v>
      </c>
      <c r="AG15" s="35">
        <f>IF(AQ15="2",BI15,0)</f>
        <v>0</v>
      </c>
      <c r="AH15" s="35">
        <f>IF(AQ15="0",BJ15,0)</f>
        <v>0</v>
      </c>
      <c r="AI15" s="83" t="s">
        <v>62</v>
      </c>
      <c r="AJ15" s="64">
        <f>IF(AN15=0,L15,0)</f>
        <v>0</v>
      </c>
      <c r="AK15" s="64">
        <f>IF(AN15=15,L15,0)</f>
        <v>0</v>
      </c>
      <c r="AL15" s="64">
        <f>IF(AN15=21,L15,0)</f>
        <v>42600</v>
      </c>
      <c r="AN15" s="35">
        <v>21</v>
      </c>
      <c r="AO15" s="35">
        <f>I15*0</f>
        <v>0</v>
      </c>
      <c r="AP15" s="35">
        <f>I15*(1-0)</f>
        <v>355</v>
      </c>
      <c r="AQ15" s="84" t="s">
        <v>144</v>
      </c>
      <c r="AV15" s="35">
        <f>AW15+AX15</f>
        <v>42600</v>
      </c>
      <c r="AW15" s="35">
        <f>H15*AO15</f>
        <v>0</v>
      </c>
      <c r="AX15" s="35">
        <f>H15*AP15</f>
        <v>42600</v>
      </c>
      <c r="AY15" s="86" t="s">
        <v>1031</v>
      </c>
      <c r="AZ15" s="86" t="s">
        <v>1050</v>
      </c>
      <c r="BA15" s="83" t="s">
        <v>1076</v>
      </c>
      <c r="BC15" s="35">
        <f>AW15+AX15</f>
        <v>42600</v>
      </c>
      <c r="BD15" s="35">
        <f>I15/(100-BE15)*100</f>
        <v>355</v>
      </c>
      <c r="BE15" s="35">
        <v>0</v>
      </c>
      <c r="BF15" s="35">
        <f>15</f>
        <v>15</v>
      </c>
      <c r="BH15" s="64">
        <f>H15*AO15</f>
        <v>0</v>
      </c>
      <c r="BI15" s="64">
        <f>H15*AP15</f>
        <v>42600</v>
      </c>
      <c r="BJ15" s="64">
        <f>H15*I15</f>
        <v>42600</v>
      </c>
      <c r="BK15" s="64" t="s">
        <v>1086</v>
      </c>
      <c r="BL15" s="35">
        <v>713</v>
      </c>
    </row>
    <row r="16" spans="1:64" x14ac:dyDescent="0.2">
      <c r="A16" s="47" t="s">
        <v>84</v>
      </c>
      <c r="B16" s="55" t="s">
        <v>62</v>
      </c>
      <c r="C16" s="55" t="s">
        <v>516</v>
      </c>
      <c r="D16" s="178" t="s">
        <v>833</v>
      </c>
      <c r="E16" s="179"/>
      <c r="F16" s="179"/>
      <c r="G16" s="55" t="s">
        <v>995</v>
      </c>
      <c r="H16" s="64">
        <v>0.23760000000000001</v>
      </c>
      <c r="I16" s="71">
        <v>658</v>
      </c>
      <c r="J16" s="64">
        <f>H16*AO16</f>
        <v>0</v>
      </c>
      <c r="K16" s="64">
        <f>H16*AP16</f>
        <v>156.3408</v>
      </c>
      <c r="L16" s="64">
        <f>H16*I16</f>
        <v>156.3408</v>
      </c>
      <c r="M16" s="79" t="s">
        <v>1019</v>
      </c>
      <c r="N16" s="19"/>
      <c r="Z16" s="35">
        <f>IF(AQ16="5",BJ16,0)</f>
        <v>156.3408</v>
      </c>
      <c r="AB16" s="35">
        <f>IF(AQ16="1",BH16,0)</f>
        <v>0</v>
      </c>
      <c r="AC16" s="35">
        <f>IF(AQ16="1",BI16,0)</f>
        <v>0</v>
      </c>
      <c r="AD16" s="35">
        <f>IF(AQ16="7",BH16,0)</f>
        <v>0</v>
      </c>
      <c r="AE16" s="35">
        <f>IF(AQ16="7",BI16,0)</f>
        <v>0</v>
      </c>
      <c r="AF16" s="35">
        <f>IF(AQ16="2",BH16,0)</f>
        <v>0</v>
      </c>
      <c r="AG16" s="35">
        <f>IF(AQ16="2",BI16,0)</f>
        <v>0</v>
      </c>
      <c r="AH16" s="35">
        <f>IF(AQ16="0",BJ16,0)</f>
        <v>0</v>
      </c>
      <c r="AI16" s="83" t="s">
        <v>62</v>
      </c>
      <c r="AJ16" s="64">
        <f>IF(AN16=0,L16,0)</f>
        <v>0</v>
      </c>
      <c r="AK16" s="64">
        <f>IF(AN16=15,L16,0)</f>
        <v>0</v>
      </c>
      <c r="AL16" s="64">
        <f>IF(AN16=21,L16,0)</f>
        <v>156.3408</v>
      </c>
      <c r="AN16" s="35">
        <v>21</v>
      </c>
      <c r="AO16" s="35">
        <f>I16*0</f>
        <v>0</v>
      </c>
      <c r="AP16" s="35">
        <f>I16*(1-0)</f>
        <v>658</v>
      </c>
      <c r="AQ16" s="84" t="s">
        <v>143</v>
      </c>
      <c r="AV16" s="35">
        <f>AW16+AX16</f>
        <v>156.3408</v>
      </c>
      <c r="AW16" s="35">
        <f>H16*AO16</f>
        <v>0</v>
      </c>
      <c r="AX16" s="35">
        <f>H16*AP16</f>
        <v>156.3408</v>
      </c>
      <c r="AY16" s="86" t="s">
        <v>1031</v>
      </c>
      <c r="AZ16" s="86" t="s">
        <v>1050</v>
      </c>
      <c r="BA16" s="83" t="s">
        <v>1076</v>
      </c>
      <c r="BC16" s="35">
        <f>AW16+AX16</f>
        <v>156.3408</v>
      </c>
      <c r="BD16" s="35">
        <f>I16/(100-BE16)*100</f>
        <v>658</v>
      </c>
      <c r="BE16" s="35">
        <v>0</v>
      </c>
      <c r="BF16" s="35">
        <f>16</f>
        <v>16</v>
      </c>
      <c r="BH16" s="64">
        <f>H16*AO16</f>
        <v>0</v>
      </c>
      <c r="BI16" s="64">
        <f>H16*AP16</f>
        <v>156.3408</v>
      </c>
      <c r="BJ16" s="64">
        <f>H16*I16</f>
        <v>156.3408</v>
      </c>
      <c r="BK16" s="64" t="s">
        <v>1086</v>
      </c>
      <c r="BL16" s="35">
        <v>713</v>
      </c>
    </row>
    <row r="17" spans="1:64" x14ac:dyDescent="0.2">
      <c r="A17" s="46"/>
      <c r="B17" s="54" t="s">
        <v>62</v>
      </c>
      <c r="C17" s="54" t="s">
        <v>103</v>
      </c>
      <c r="D17" s="176" t="s">
        <v>122</v>
      </c>
      <c r="E17" s="177"/>
      <c r="F17" s="177"/>
      <c r="G17" s="61" t="s">
        <v>60</v>
      </c>
      <c r="H17" s="61" t="s">
        <v>60</v>
      </c>
      <c r="I17" s="70" t="s">
        <v>60</v>
      </c>
      <c r="J17" s="89">
        <f>SUM(J18:J21)</f>
        <v>0</v>
      </c>
      <c r="K17" s="89">
        <f>SUM(K18:K21)</f>
        <v>7454.7168600000005</v>
      </c>
      <c r="L17" s="89">
        <f>SUM(L18:L21)</f>
        <v>7454.7168600000005</v>
      </c>
      <c r="M17" s="78"/>
      <c r="N17" s="19"/>
      <c r="AI17" s="83" t="s">
        <v>62</v>
      </c>
      <c r="AS17" s="89">
        <f>SUM(AJ18:AJ21)</f>
        <v>0</v>
      </c>
      <c r="AT17" s="89">
        <f>SUM(AK18:AK21)</f>
        <v>0</v>
      </c>
      <c r="AU17" s="89">
        <f>SUM(AL18:AL21)</f>
        <v>7454.7168600000005</v>
      </c>
    </row>
    <row r="18" spans="1:64" x14ac:dyDescent="0.2">
      <c r="A18" s="47" t="s">
        <v>85</v>
      </c>
      <c r="B18" s="55" t="s">
        <v>62</v>
      </c>
      <c r="C18" s="55" t="s">
        <v>517</v>
      </c>
      <c r="D18" s="178" t="s">
        <v>834</v>
      </c>
      <c r="E18" s="179"/>
      <c r="F18" s="179"/>
      <c r="G18" s="55" t="s">
        <v>996</v>
      </c>
      <c r="H18" s="64">
        <v>0.38400000000000001</v>
      </c>
      <c r="I18" s="71">
        <v>2156</v>
      </c>
      <c r="J18" s="64">
        <f>H18*AO18</f>
        <v>0</v>
      </c>
      <c r="K18" s="64">
        <f>H18*AP18</f>
        <v>827.904</v>
      </c>
      <c r="L18" s="64">
        <f>H18*I18</f>
        <v>827.904</v>
      </c>
      <c r="M18" s="79" t="s">
        <v>1019</v>
      </c>
      <c r="N18" s="19"/>
      <c r="Z18" s="35">
        <f>IF(AQ18="5",BJ18,0)</f>
        <v>0</v>
      </c>
      <c r="AB18" s="35">
        <f>IF(AQ18="1",BH18,0)</f>
        <v>0</v>
      </c>
      <c r="AC18" s="35">
        <f>IF(AQ18="1",BI18,0)</f>
        <v>827.904</v>
      </c>
      <c r="AD18" s="35">
        <f>IF(AQ18="7",BH18,0)</f>
        <v>0</v>
      </c>
      <c r="AE18" s="35">
        <f>IF(AQ18="7",BI18,0)</f>
        <v>0</v>
      </c>
      <c r="AF18" s="35">
        <f>IF(AQ18="2",BH18,0)</f>
        <v>0</v>
      </c>
      <c r="AG18" s="35">
        <f>IF(AQ18="2",BI18,0)</f>
        <v>0</v>
      </c>
      <c r="AH18" s="35">
        <f>IF(AQ18="0",BJ18,0)</f>
        <v>0</v>
      </c>
      <c r="AI18" s="83" t="s">
        <v>62</v>
      </c>
      <c r="AJ18" s="64">
        <f>IF(AN18=0,L18,0)</f>
        <v>0</v>
      </c>
      <c r="AK18" s="64">
        <f>IF(AN18=15,L18,0)</f>
        <v>0</v>
      </c>
      <c r="AL18" s="64">
        <f>IF(AN18=21,L18,0)</f>
        <v>827.904</v>
      </c>
      <c r="AN18" s="35">
        <v>21</v>
      </c>
      <c r="AO18" s="35">
        <f>I18*0</f>
        <v>0</v>
      </c>
      <c r="AP18" s="35">
        <f>I18*(1-0)</f>
        <v>2156</v>
      </c>
      <c r="AQ18" s="84" t="s">
        <v>141</v>
      </c>
      <c r="AV18" s="35">
        <f>AW18+AX18</f>
        <v>827.904</v>
      </c>
      <c r="AW18" s="35">
        <f>H18*AO18</f>
        <v>0</v>
      </c>
      <c r="AX18" s="35">
        <f>H18*AP18</f>
        <v>827.904</v>
      </c>
      <c r="AY18" s="86" t="s">
        <v>1032</v>
      </c>
      <c r="AZ18" s="86" t="s">
        <v>1051</v>
      </c>
      <c r="BA18" s="83" t="s">
        <v>1076</v>
      </c>
      <c r="BC18" s="35">
        <f>AW18+AX18</f>
        <v>827.904</v>
      </c>
      <c r="BD18" s="35">
        <f>I18/(100-BE18)*100</f>
        <v>2156</v>
      </c>
      <c r="BE18" s="35">
        <v>0</v>
      </c>
      <c r="BF18" s="35">
        <f>18</f>
        <v>18</v>
      </c>
      <c r="BH18" s="64">
        <f>H18*AO18</f>
        <v>0</v>
      </c>
      <c r="BI18" s="64">
        <f>H18*AP18</f>
        <v>827.904</v>
      </c>
      <c r="BJ18" s="64">
        <f>H18*I18</f>
        <v>827.904</v>
      </c>
      <c r="BK18" s="64" t="s">
        <v>1086</v>
      </c>
      <c r="BL18" s="35">
        <v>31</v>
      </c>
    </row>
    <row r="19" spans="1:64" x14ac:dyDescent="0.2">
      <c r="A19" s="47" t="s">
        <v>143</v>
      </c>
      <c r="B19" s="55" t="s">
        <v>62</v>
      </c>
      <c r="C19" s="55" t="s">
        <v>518</v>
      </c>
      <c r="D19" s="178" t="s">
        <v>835</v>
      </c>
      <c r="E19" s="179"/>
      <c r="F19" s="179"/>
      <c r="G19" s="55" t="s">
        <v>994</v>
      </c>
      <c r="H19" s="64">
        <v>4.3520000000000003</v>
      </c>
      <c r="I19" s="71">
        <v>430</v>
      </c>
      <c r="J19" s="64">
        <f>H19*AO19</f>
        <v>0</v>
      </c>
      <c r="K19" s="64">
        <f>H19*AP19</f>
        <v>1871.3600000000001</v>
      </c>
      <c r="L19" s="64">
        <f>H19*I19</f>
        <v>1871.3600000000001</v>
      </c>
      <c r="M19" s="79" t="s">
        <v>1019</v>
      </c>
      <c r="N19" s="19"/>
      <c r="Z19" s="35">
        <f>IF(AQ19="5",BJ19,0)</f>
        <v>0</v>
      </c>
      <c r="AB19" s="35">
        <f>IF(AQ19="1",BH19,0)</f>
        <v>0</v>
      </c>
      <c r="AC19" s="35">
        <f>IF(AQ19="1",BI19,0)</f>
        <v>1871.3600000000001</v>
      </c>
      <c r="AD19" s="35">
        <f>IF(AQ19="7",BH19,0)</f>
        <v>0</v>
      </c>
      <c r="AE19" s="35">
        <f>IF(AQ19="7",BI19,0)</f>
        <v>0</v>
      </c>
      <c r="AF19" s="35">
        <f>IF(AQ19="2",BH19,0)</f>
        <v>0</v>
      </c>
      <c r="AG19" s="35">
        <f>IF(AQ19="2",BI19,0)</f>
        <v>0</v>
      </c>
      <c r="AH19" s="35">
        <f>IF(AQ19="0",BJ19,0)</f>
        <v>0</v>
      </c>
      <c r="AI19" s="83" t="s">
        <v>62</v>
      </c>
      <c r="AJ19" s="64">
        <f>IF(AN19=0,L19,0)</f>
        <v>0</v>
      </c>
      <c r="AK19" s="64">
        <f>IF(AN19=15,L19,0)</f>
        <v>0</v>
      </c>
      <c r="AL19" s="64">
        <f>IF(AN19=21,L19,0)</f>
        <v>1871.3600000000001</v>
      </c>
      <c r="AN19" s="35">
        <v>21</v>
      </c>
      <c r="AO19" s="35">
        <f>I19*0</f>
        <v>0</v>
      </c>
      <c r="AP19" s="35">
        <f>I19*(1-0)</f>
        <v>430</v>
      </c>
      <c r="AQ19" s="84" t="s">
        <v>141</v>
      </c>
      <c r="AV19" s="35">
        <f>AW19+AX19</f>
        <v>1871.3600000000001</v>
      </c>
      <c r="AW19" s="35">
        <f>H19*AO19</f>
        <v>0</v>
      </c>
      <c r="AX19" s="35">
        <f>H19*AP19</f>
        <v>1871.3600000000001</v>
      </c>
      <c r="AY19" s="86" t="s">
        <v>1032</v>
      </c>
      <c r="AZ19" s="86" t="s">
        <v>1051</v>
      </c>
      <c r="BA19" s="83" t="s">
        <v>1076</v>
      </c>
      <c r="BC19" s="35">
        <f>AW19+AX19</f>
        <v>1871.3600000000001</v>
      </c>
      <c r="BD19" s="35">
        <f>I19/(100-BE19)*100</f>
        <v>430</v>
      </c>
      <c r="BE19" s="35">
        <v>0</v>
      </c>
      <c r="BF19" s="35">
        <f>19</f>
        <v>19</v>
      </c>
      <c r="BH19" s="64">
        <f>H19*AO19</f>
        <v>0</v>
      </c>
      <c r="BI19" s="64">
        <f>H19*AP19</f>
        <v>1871.3600000000001</v>
      </c>
      <c r="BJ19" s="64">
        <f>H19*I19</f>
        <v>1871.3600000000001</v>
      </c>
      <c r="BK19" s="64" t="s">
        <v>1086</v>
      </c>
      <c r="BL19" s="35">
        <v>31</v>
      </c>
    </row>
    <row r="20" spans="1:64" x14ac:dyDescent="0.2">
      <c r="A20" s="47" t="s">
        <v>86</v>
      </c>
      <c r="B20" s="55" t="s">
        <v>62</v>
      </c>
      <c r="C20" s="55" t="s">
        <v>519</v>
      </c>
      <c r="D20" s="178" t="s">
        <v>836</v>
      </c>
      <c r="E20" s="179"/>
      <c r="F20" s="179"/>
      <c r="G20" s="55" t="s">
        <v>994</v>
      </c>
      <c r="H20" s="64">
        <v>4.3520000000000003</v>
      </c>
      <c r="I20" s="71">
        <v>162</v>
      </c>
      <c r="J20" s="64">
        <f>H20*AO20</f>
        <v>0</v>
      </c>
      <c r="K20" s="64">
        <f>H20*AP20</f>
        <v>705.024</v>
      </c>
      <c r="L20" s="64">
        <f>H20*I20</f>
        <v>705.024</v>
      </c>
      <c r="M20" s="79" t="s">
        <v>1019</v>
      </c>
      <c r="N20" s="19"/>
      <c r="Z20" s="35">
        <f>IF(AQ20="5",BJ20,0)</f>
        <v>0</v>
      </c>
      <c r="AB20" s="35">
        <f>IF(AQ20="1",BH20,0)</f>
        <v>0</v>
      </c>
      <c r="AC20" s="35">
        <f>IF(AQ20="1",BI20,0)</f>
        <v>705.024</v>
      </c>
      <c r="AD20" s="35">
        <f>IF(AQ20="7",BH20,0)</f>
        <v>0</v>
      </c>
      <c r="AE20" s="35">
        <f>IF(AQ20="7",BI20,0)</f>
        <v>0</v>
      </c>
      <c r="AF20" s="35">
        <f>IF(AQ20="2",BH20,0)</f>
        <v>0</v>
      </c>
      <c r="AG20" s="35">
        <f>IF(AQ20="2",BI20,0)</f>
        <v>0</v>
      </c>
      <c r="AH20" s="35">
        <f>IF(AQ20="0",BJ20,0)</f>
        <v>0</v>
      </c>
      <c r="AI20" s="83" t="s">
        <v>62</v>
      </c>
      <c r="AJ20" s="64">
        <f>IF(AN20=0,L20,0)</f>
        <v>0</v>
      </c>
      <c r="AK20" s="64">
        <f>IF(AN20=15,L20,0)</f>
        <v>0</v>
      </c>
      <c r="AL20" s="64">
        <f>IF(AN20=21,L20,0)</f>
        <v>705.024</v>
      </c>
      <c r="AN20" s="35">
        <v>21</v>
      </c>
      <c r="AO20" s="35">
        <f>I20*0</f>
        <v>0</v>
      </c>
      <c r="AP20" s="35">
        <f>I20*(1-0)</f>
        <v>162</v>
      </c>
      <c r="AQ20" s="84" t="s">
        <v>141</v>
      </c>
      <c r="AV20" s="35">
        <f>AW20+AX20</f>
        <v>705.024</v>
      </c>
      <c r="AW20" s="35">
        <f>H20*AO20</f>
        <v>0</v>
      </c>
      <c r="AX20" s="35">
        <f>H20*AP20</f>
        <v>705.024</v>
      </c>
      <c r="AY20" s="86" t="s">
        <v>1032</v>
      </c>
      <c r="AZ20" s="86" t="s">
        <v>1051</v>
      </c>
      <c r="BA20" s="83" t="s">
        <v>1076</v>
      </c>
      <c r="BC20" s="35">
        <f>AW20+AX20</f>
        <v>705.024</v>
      </c>
      <c r="BD20" s="35">
        <f>I20/(100-BE20)*100</f>
        <v>162</v>
      </c>
      <c r="BE20" s="35">
        <v>0</v>
      </c>
      <c r="BF20" s="35">
        <f>20</f>
        <v>20</v>
      </c>
      <c r="BH20" s="64">
        <f>H20*AO20</f>
        <v>0</v>
      </c>
      <c r="BI20" s="64">
        <f>H20*AP20</f>
        <v>705.024</v>
      </c>
      <c r="BJ20" s="64">
        <f>H20*I20</f>
        <v>705.024</v>
      </c>
      <c r="BK20" s="64" t="s">
        <v>1086</v>
      </c>
      <c r="BL20" s="35">
        <v>31</v>
      </c>
    </row>
    <row r="21" spans="1:64" x14ac:dyDescent="0.2">
      <c r="A21" s="47" t="s">
        <v>144</v>
      </c>
      <c r="B21" s="55" t="s">
        <v>62</v>
      </c>
      <c r="C21" s="55" t="s">
        <v>520</v>
      </c>
      <c r="D21" s="178" t="s">
        <v>837</v>
      </c>
      <c r="E21" s="179"/>
      <c r="F21" s="179"/>
      <c r="G21" s="55" t="s">
        <v>995</v>
      </c>
      <c r="H21" s="64">
        <v>0.52041999999999999</v>
      </c>
      <c r="I21" s="71">
        <v>7783</v>
      </c>
      <c r="J21" s="64">
        <f>H21*AO21</f>
        <v>0</v>
      </c>
      <c r="K21" s="64">
        <f>H21*AP21</f>
        <v>4050.42886</v>
      </c>
      <c r="L21" s="64">
        <f>H21*I21</f>
        <v>4050.42886</v>
      </c>
      <c r="M21" s="79" t="s">
        <v>1019</v>
      </c>
      <c r="N21" s="19"/>
      <c r="Z21" s="35">
        <f>IF(AQ21="5",BJ21,0)</f>
        <v>0</v>
      </c>
      <c r="AB21" s="35">
        <f>IF(AQ21="1",BH21,0)</f>
        <v>0</v>
      </c>
      <c r="AC21" s="35">
        <f>IF(AQ21="1",BI21,0)</f>
        <v>4050.42886</v>
      </c>
      <c r="AD21" s="35">
        <f>IF(AQ21="7",BH21,0)</f>
        <v>0</v>
      </c>
      <c r="AE21" s="35">
        <f>IF(AQ21="7",BI21,0)</f>
        <v>0</v>
      </c>
      <c r="AF21" s="35">
        <f>IF(AQ21="2",BH21,0)</f>
        <v>0</v>
      </c>
      <c r="AG21" s="35">
        <f>IF(AQ21="2",BI21,0)</f>
        <v>0</v>
      </c>
      <c r="AH21" s="35">
        <f>IF(AQ21="0",BJ21,0)</f>
        <v>0</v>
      </c>
      <c r="AI21" s="83" t="s">
        <v>62</v>
      </c>
      <c r="AJ21" s="64">
        <f>IF(AN21=0,L21,0)</f>
        <v>0</v>
      </c>
      <c r="AK21" s="64">
        <f>IF(AN21=15,L21,0)</f>
        <v>0</v>
      </c>
      <c r="AL21" s="64">
        <f>IF(AN21=21,L21,0)</f>
        <v>4050.42886</v>
      </c>
      <c r="AN21" s="35">
        <v>21</v>
      </c>
      <c r="AO21" s="35">
        <f>I21*0</f>
        <v>0</v>
      </c>
      <c r="AP21" s="35">
        <f>I21*(1-0)</f>
        <v>7783</v>
      </c>
      <c r="AQ21" s="84" t="s">
        <v>141</v>
      </c>
      <c r="AV21" s="35">
        <f>AW21+AX21</f>
        <v>4050.42886</v>
      </c>
      <c r="AW21" s="35">
        <f>H21*AO21</f>
        <v>0</v>
      </c>
      <c r="AX21" s="35">
        <f>H21*AP21</f>
        <v>4050.42886</v>
      </c>
      <c r="AY21" s="86" t="s">
        <v>1032</v>
      </c>
      <c r="AZ21" s="86" t="s">
        <v>1051</v>
      </c>
      <c r="BA21" s="83" t="s">
        <v>1076</v>
      </c>
      <c r="BC21" s="35">
        <f>AW21+AX21</f>
        <v>4050.42886</v>
      </c>
      <c r="BD21" s="35">
        <f>I21/(100-BE21)*100</f>
        <v>7783</v>
      </c>
      <c r="BE21" s="35">
        <v>0</v>
      </c>
      <c r="BF21" s="35">
        <f>21</f>
        <v>21</v>
      </c>
      <c r="BH21" s="64">
        <f>H21*AO21</f>
        <v>0</v>
      </c>
      <c r="BI21" s="64">
        <f>H21*AP21</f>
        <v>4050.42886</v>
      </c>
      <c r="BJ21" s="64">
        <f>H21*I21</f>
        <v>4050.42886</v>
      </c>
      <c r="BK21" s="64" t="s">
        <v>1086</v>
      </c>
      <c r="BL21" s="35">
        <v>31</v>
      </c>
    </row>
    <row r="22" spans="1:64" x14ac:dyDescent="0.2">
      <c r="A22" s="19"/>
      <c r="C22" s="59" t="s">
        <v>521</v>
      </c>
      <c r="D22" s="180" t="s">
        <v>838</v>
      </c>
      <c r="E22" s="181"/>
      <c r="F22" s="181"/>
      <c r="G22" s="181"/>
      <c r="H22" s="181"/>
      <c r="I22" s="182"/>
      <c r="J22" s="181"/>
      <c r="K22" s="181"/>
      <c r="L22" s="181"/>
      <c r="M22" s="183"/>
      <c r="N22" s="19"/>
    </row>
    <row r="23" spans="1:64" x14ac:dyDescent="0.2">
      <c r="A23" s="46"/>
      <c r="B23" s="54" t="s">
        <v>62</v>
      </c>
      <c r="C23" s="54" t="s">
        <v>104</v>
      </c>
      <c r="D23" s="176" t="s">
        <v>123</v>
      </c>
      <c r="E23" s="177"/>
      <c r="F23" s="177"/>
      <c r="G23" s="61" t="s">
        <v>60</v>
      </c>
      <c r="H23" s="61" t="s">
        <v>60</v>
      </c>
      <c r="I23" s="70" t="s">
        <v>60</v>
      </c>
      <c r="J23" s="89">
        <f>SUM(J24:J24)</f>
        <v>0</v>
      </c>
      <c r="K23" s="89">
        <f>SUM(K24:K24)</f>
        <v>5438.16</v>
      </c>
      <c r="L23" s="89">
        <f>SUM(L24:L24)</f>
        <v>5438.16</v>
      </c>
      <c r="M23" s="78"/>
      <c r="N23" s="19"/>
      <c r="AI23" s="83" t="s">
        <v>62</v>
      </c>
      <c r="AS23" s="89">
        <f>SUM(AJ24:AJ24)</f>
        <v>0</v>
      </c>
      <c r="AT23" s="89">
        <f>SUM(AK24:AK24)</f>
        <v>0</v>
      </c>
      <c r="AU23" s="89">
        <f>SUM(AL24:AL24)</f>
        <v>5438.16</v>
      </c>
    </row>
    <row r="24" spans="1:64" x14ac:dyDescent="0.2">
      <c r="A24" s="47" t="s">
        <v>145</v>
      </c>
      <c r="B24" s="55" t="s">
        <v>62</v>
      </c>
      <c r="C24" s="55" t="s">
        <v>522</v>
      </c>
      <c r="D24" s="178" t="s">
        <v>839</v>
      </c>
      <c r="E24" s="179"/>
      <c r="F24" s="179"/>
      <c r="G24" s="55" t="s">
        <v>994</v>
      </c>
      <c r="H24" s="64">
        <v>9.36</v>
      </c>
      <c r="I24" s="71">
        <v>581</v>
      </c>
      <c r="J24" s="64">
        <f>H24*AO24</f>
        <v>0</v>
      </c>
      <c r="K24" s="64">
        <f>H24*AP24</f>
        <v>5438.16</v>
      </c>
      <c r="L24" s="64">
        <f>H24*I24</f>
        <v>5438.16</v>
      </c>
      <c r="M24" s="79" t="s">
        <v>1019</v>
      </c>
      <c r="N24" s="19"/>
      <c r="Z24" s="35">
        <f>IF(AQ24="5",BJ24,0)</f>
        <v>0</v>
      </c>
      <c r="AB24" s="35">
        <f>IF(AQ24="1",BH24,0)</f>
        <v>0</v>
      </c>
      <c r="AC24" s="35">
        <f>IF(AQ24="1",BI24,0)</f>
        <v>5438.16</v>
      </c>
      <c r="AD24" s="35">
        <f>IF(AQ24="7",BH24,0)</f>
        <v>0</v>
      </c>
      <c r="AE24" s="35">
        <f>IF(AQ24="7",BI24,0)</f>
        <v>0</v>
      </c>
      <c r="AF24" s="35">
        <f>IF(AQ24="2",BH24,0)</f>
        <v>0</v>
      </c>
      <c r="AG24" s="35">
        <f>IF(AQ24="2",BI24,0)</f>
        <v>0</v>
      </c>
      <c r="AH24" s="35">
        <f>IF(AQ24="0",BJ24,0)</f>
        <v>0</v>
      </c>
      <c r="AI24" s="83" t="s">
        <v>62</v>
      </c>
      <c r="AJ24" s="64">
        <f>IF(AN24=0,L24,0)</f>
        <v>0</v>
      </c>
      <c r="AK24" s="64">
        <f>IF(AN24=15,L24,0)</f>
        <v>0</v>
      </c>
      <c r="AL24" s="64">
        <f>IF(AN24=21,L24,0)</f>
        <v>5438.16</v>
      </c>
      <c r="AN24" s="35">
        <v>21</v>
      </c>
      <c r="AO24" s="35">
        <f>I24*0</f>
        <v>0</v>
      </c>
      <c r="AP24" s="35">
        <f>I24*(1-0)</f>
        <v>581</v>
      </c>
      <c r="AQ24" s="84" t="s">
        <v>141</v>
      </c>
      <c r="AV24" s="35">
        <f>AW24+AX24</f>
        <v>5438.16</v>
      </c>
      <c r="AW24" s="35">
        <f>H24*AO24</f>
        <v>0</v>
      </c>
      <c r="AX24" s="35">
        <f>H24*AP24</f>
        <v>5438.16</v>
      </c>
      <c r="AY24" s="86" t="s">
        <v>1033</v>
      </c>
      <c r="AZ24" s="86" t="s">
        <v>1051</v>
      </c>
      <c r="BA24" s="83" t="s">
        <v>1076</v>
      </c>
      <c r="BC24" s="35">
        <f>AW24+AX24</f>
        <v>5438.16</v>
      </c>
      <c r="BD24" s="35">
        <f>I24/(100-BE24)*100</f>
        <v>581</v>
      </c>
      <c r="BE24" s="35">
        <v>0</v>
      </c>
      <c r="BF24" s="35">
        <f>24</f>
        <v>24</v>
      </c>
      <c r="BH24" s="64">
        <f>H24*AO24</f>
        <v>0</v>
      </c>
      <c r="BI24" s="64">
        <f>H24*AP24</f>
        <v>5438.16</v>
      </c>
      <c r="BJ24" s="64">
        <f>H24*I24</f>
        <v>5438.16</v>
      </c>
      <c r="BK24" s="64" t="s">
        <v>1086</v>
      </c>
      <c r="BL24" s="35">
        <v>34</v>
      </c>
    </row>
    <row r="25" spans="1:64" x14ac:dyDescent="0.2">
      <c r="A25" s="19"/>
      <c r="C25" s="59" t="s">
        <v>521</v>
      </c>
      <c r="D25" s="180" t="s">
        <v>840</v>
      </c>
      <c r="E25" s="181"/>
      <c r="F25" s="181"/>
      <c r="G25" s="181"/>
      <c r="H25" s="181"/>
      <c r="I25" s="182"/>
      <c r="J25" s="181"/>
      <c r="K25" s="181"/>
      <c r="L25" s="181"/>
      <c r="M25" s="183"/>
      <c r="N25" s="19"/>
    </row>
    <row r="26" spans="1:64" x14ac:dyDescent="0.2">
      <c r="A26" s="46"/>
      <c r="B26" s="54" t="s">
        <v>62</v>
      </c>
      <c r="C26" s="54" t="s">
        <v>105</v>
      </c>
      <c r="D26" s="176" t="s">
        <v>124</v>
      </c>
      <c r="E26" s="177"/>
      <c r="F26" s="177"/>
      <c r="G26" s="61" t="s">
        <v>60</v>
      </c>
      <c r="H26" s="61" t="s">
        <v>60</v>
      </c>
      <c r="I26" s="70" t="s">
        <v>60</v>
      </c>
      <c r="J26" s="89">
        <f>SUM(J27:J35)</f>
        <v>0</v>
      </c>
      <c r="K26" s="89">
        <f>SUM(K27:K35)</f>
        <v>174145.10198000001</v>
      </c>
      <c r="L26" s="89">
        <f>SUM(L27:L35)</f>
        <v>174145.10198000001</v>
      </c>
      <c r="M26" s="78"/>
      <c r="N26" s="19"/>
      <c r="AI26" s="83" t="s">
        <v>62</v>
      </c>
      <c r="AS26" s="89">
        <f>SUM(AJ27:AJ35)</f>
        <v>0</v>
      </c>
      <c r="AT26" s="89">
        <f>SUM(AK27:AK35)</f>
        <v>0</v>
      </c>
      <c r="AU26" s="89">
        <f>SUM(AL27:AL35)</f>
        <v>174145.10198000001</v>
      </c>
    </row>
    <row r="27" spans="1:64" x14ac:dyDescent="0.2">
      <c r="A27" s="47" t="s">
        <v>88</v>
      </c>
      <c r="B27" s="55" t="s">
        <v>62</v>
      </c>
      <c r="C27" s="55" t="s">
        <v>523</v>
      </c>
      <c r="D27" s="178" t="s">
        <v>841</v>
      </c>
      <c r="E27" s="179"/>
      <c r="F27" s="179"/>
      <c r="G27" s="55" t="s">
        <v>994</v>
      </c>
      <c r="H27" s="64">
        <v>48</v>
      </c>
      <c r="I27" s="71">
        <v>379</v>
      </c>
      <c r="J27" s="64">
        <f>H27*AO27</f>
        <v>0</v>
      </c>
      <c r="K27" s="64">
        <f>H27*AP27</f>
        <v>18192</v>
      </c>
      <c r="L27" s="64">
        <f>H27*I27</f>
        <v>18192</v>
      </c>
      <c r="M27" s="79" t="s">
        <v>1019</v>
      </c>
      <c r="N27" s="19"/>
      <c r="Z27" s="35">
        <f>IF(AQ27="5",BJ27,0)</f>
        <v>0</v>
      </c>
      <c r="AB27" s="35">
        <f>IF(AQ27="1",BH27,0)</f>
        <v>0</v>
      </c>
      <c r="AC27" s="35">
        <f>IF(AQ27="1",BI27,0)</f>
        <v>18192</v>
      </c>
      <c r="AD27" s="35">
        <f>IF(AQ27="7",BH27,0)</f>
        <v>0</v>
      </c>
      <c r="AE27" s="35">
        <f>IF(AQ27="7",BI27,0)</f>
        <v>0</v>
      </c>
      <c r="AF27" s="35">
        <f>IF(AQ27="2",BH27,0)</f>
        <v>0</v>
      </c>
      <c r="AG27" s="35">
        <f>IF(AQ27="2",BI27,0)</f>
        <v>0</v>
      </c>
      <c r="AH27" s="35">
        <f>IF(AQ27="0",BJ27,0)</f>
        <v>0</v>
      </c>
      <c r="AI27" s="83" t="s">
        <v>62</v>
      </c>
      <c r="AJ27" s="64">
        <f>IF(AN27=0,L27,0)</f>
        <v>0</v>
      </c>
      <c r="AK27" s="64">
        <f>IF(AN27=15,L27,0)</f>
        <v>0</v>
      </c>
      <c r="AL27" s="64">
        <f>IF(AN27=21,L27,0)</f>
        <v>18192</v>
      </c>
      <c r="AN27" s="35">
        <v>21</v>
      </c>
      <c r="AO27" s="35">
        <f>I27*0</f>
        <v>0</v>
      </c>
      <c r="AP27" s="35">
        <f>I27*(1-0)</f>
        <v>379</v>
      </c>
      <c r="AQ27" s="84" t="s">
        <v>141</v>
      </c>
      <c r="AV27" s="35">
        <f>AW27+AX27</f>
        <v>18192</v>
      </c>
      <c r="AW27" s="35">
        <f>H27*AO27</f>
        <v>0</v>
      </c>
      <c r="AX27" s="35">
        <f>H27*AP27</f>
        <v>18192</v>
      </c>
      <c r="AY27" s="86" t="s">
        <v>1034</v>
      </c>
      <c r="AZ27" s="86" t="s">
        <v>1052</v>
      </c>
      <c r="BA27" s="83" t="s">
        <v>1076</v>
      </c>
      <c r="BC27" s="35">
        <f>AW27+AX27</f>
        <v>18192</v>
      </c>
      <c r="BD27" s="35">
        <f>I27/(100-BE27)*100</f>
        <v>379</v>
      </c>
      <c r="BE27" s="35">
        <v>0</v>
      </c>
      <c r="BF27" s="35">
        <f>27</f>
        <v>27</v>
      </c>
      <c r="BH27" s="64">
        <f>H27*AO27</f>
        <v>0</v>
      </c>
      <c r="BI27" s="64">
        <f>H27*AP27</f>
        <v>18192</v>
      </c>
      <c r="BJ27" s="64">
        <f>H27*I27</f>
        <v>18192</v>
      </c>
      <c r="BK27" s="64" t="s">
        <v>1086</v>
      </c>
      <c r="BL27" s="35">
        <v>41</v>
      </c>
    </row>
    <row r="28" spans="1:64" x14ac:dyDescent="0.2">
      <c r="A28" s="19"/>
      <c r="C28" s="59" t="s">
        <v>521</v>
      </c>
      <c r="D28" s="180" t="s">
        <v>842</v>
      </c>
      <c r="E28" s="181"/>
      <c r="F28" s="181"/>
      <c r="G28" s="181"/>
      <c r="H28" s="181"/>
      <c r="I28" s="182"/>
      <c r="J28" s="181"/>
      <c r="K28" s="181"/>
      <c r="L28" s="181"/>
      <c r="M28" s="183"/>
      <c r="N28" s="19"/>
    </row>
    <row r="29" spans="1:64" x14ac:dyDescent="0.2">
      <c r="A29" s="47" t="s">
        <v>146</v>
      </c>
      <c r="B29" s="55" t="s">
        <v>62</v>
      </c>
      <c r="C29" s="55" t="s">
        <v>524</v>
      </c>
      <c r="D29" s="178" t="s">
        <v>843</v>
      </c>
      <c r="E29" s="179"/>
      <c r="F29" s="179"/>
      <c r="G29" s="55" t="s">
        <v>994</v>
      </c>
      <c r="H29" s="64">
        <v>48</v>
      </c>
      <c r="I29" s="71">
        <v>86</v>
      </c>
      <c r="J29" s="64">
        <f>H29*AO29</f>
        <v>0</v>
      </c>
      <c r="K29" s="64">
        <f>H29*AP29</f>
        <v>4128</v>
      </c>
      <c r="L29" s="64">
        <f>H29*I29</f>
        <v>4128</v>
      </c>
      <c r="M29" s="79" t="s">
        <v>1019</v>
      </c>
      <c r="N29" s="19"/>
      <c r="Z29" s="35">
        <f>IF(AQ29="5",BJ29,0)</f>
        <v>0</v>
      </c>
      <c r="AB29" s="35">
        <f>IF(AQ29="1",BH29,0)</f>
        <v>0</v>
      </c>
      <c r="AC29" s="35">
        <f>IF(AQ29="1",BI29,0)</f>
        <v>4128</v>
      </c>
      <c r="AD29" s="35">
        <f>IF(AQ29="7",BH29,0)</f>
        <v>0</v>
      </c>
      <c r="AE29" s="35">
        <f>IF(AQ29="7",BI29,0)</f>
        <v>0</v>
      </c>
      <c r="AF29" s="35">
        <f>IF(AQ29="2",BH29,0)</f>
        <v>0</v>
      </c>
      <c r="AG29" s="35">
        <f>IF(AQ29="2",BI29,0)</f>
        <v>0</v>
      </c>
      <c r="AH29" s="35">
        <f>IF(AQ29="0",BJ29,0)</f>
        <v>0</v>
      </c>
      <c r="AI29" s="83" t="s">
        <v>62</v>
      </c>
      <c r="AJ29" s="64">
        <f>IF(AN29=0,L29,0)</f>
        <v>0</v>
      </c>
      <c r="AK29" s="64">
        <f>IF(AN29=15,L29,0)</f>
        <v>0</v>
      </c>
      <c r="AL29" s="64">
        <f>IF(AN29=21,L29,0)</f>
        <v>4128</v>
      </c>
      <c r="AN29" s="35">
        <v>21</v>
      </c>
      <c r="AO29" s="35">
        <f>I29*0</f>
        <v>0</v>
      </c>
      <c r="AP29" s="35">
        <f>I29*(1-0)</f>
        <v>86</v>
      </c>
      <c r="AQ29" s="84" t="s">
        <v>141</v>
      </c>
      <c r="AV29" s="35">
        <f>AW29+AX29</f>
        <v>4128</v>
      </c>
      <c r="AW29" s="35">
        <f>H29*AO29</f>
        <v>0</v>
      </c>
      <c r="AX29" s="35">
        <f>H29*AP29</f>
        <v>4128</v>
      </c>
      <c r="AY29" s="86" t="s">
        <v>1034</v>
      </c>
      <c r="AZ29" s="86" t="s">
        <v>1052</v>
      </c>
      <c r="BA29" s="83" t="s">
        <v>1076</v>
      </c>
      <c r="BC29" s="35">
        <f>AW29+AX29</f>
        <v>4128</v>
      </c>
      <c r="BD29" s="35">
        <f>I29/(100-BE29)*100</f>
        <v>86</v>
      </c>
      <c r="BE29" s="35">
        <v>0</v>
      </c>
      <c r="BF29" s="35">
        <f>29</f>
        <v>29</v>
      </c>
      <c r="BH29" s="64">
        <f>H29*AO29</f>
        <v>0</v>
      </c>
      <c r="BI29" s="64">
        <f>H29*AP29</f>
        <v>4128</v>
      </c>
      <c r="BJ29" s="64">
        <f>H29*I29</f>
        <v>4128</v>
      </c>
      <c r="BK29" s="64" t="s">
        <v>1086</v>
      </c>
      <c r="BL29" s="35">
        <v>41</v>
      </c>
    </row>
    <row r="30" spans="1:64" x14ac:dyDescent="0.2">
      <c r="A30" s="47" t="s">
        <v>147</v>
      </c>
      <c r="B30" s="55" t="s">
        <v>62</v>
      </c>
      <c r="C30" s="55" t="s">
        <v>525</v>
      </c>
      <c r="D30" s="178" t="s">
        <v>844</v>
      </c>
      <c r="E30" s="179"/>
      <c r="F30" s="179"/>
      <c r="G30" s="55" t="s">
        <v>997</v>
      </c>
      <c r="H30" s="64">
        <v>2.1760000000000002</v>
      </c>
      <c r="I30" s="71">
        <v>443</v>
      </c>
      <c r="J30" s="64">
        <f>H30*AO30</f>
        <v>0</v>
      </c>
      <c r="K30" s="64">
        <f>H30*AP30</f>
        <v>963.96800000000007</v>
      </c>
      <c r="L30" s="64">
        <f>H30*I30</f>
        <v>963.96800000000007</v>
      </c>
      <c r="M30" s="79" t="s">
        <v>1019</v>
      </c>
      <c r="N30" s="19"/>
      <c r="Z30" s="35">
        <f>IF(AQ30="5",BJ30,0)</f>
        <v>0</v>
      </c>
      <c r="AB30" s="35">
        <f>IF(AQ30="1",BH30,0)</f>
        <v>0</v>
      </c>
      <c r="AC30" s="35">
        <f>IF(AQ30="1",BI30,0)</f>
        <v>963.96800000000007</v>
      </c>
      <c r="AD30" s="35">
        <f>IF(AQ30="7",BH30,0)</f>
        <v>0</v>
      </c>
      <c r="AE30" s="35">
        <f>IF(AQ30="7",BI30,0)</f>
        <v>0</v>
      </c>
      <c r="AF30" s="35">
        <f>IF(AQ30="2",BH30,0)</f>
        <v>0</v>
      </c>
      <c r="AG30" s="35">
        <f>IF(AQ30="2",BI30,0)</f>
        <v>0</v>
      </c>
      <c r="AH30" s="35">
        <f>IF(AQ30="0",BJ30,0)</f>
        <v>0</v>
      </c>
      <c r="AI30" s="83" t="s">
        <v>62</v>
      </c>
      <c r="AJ30" s="64">
        <f>IF(AN30=0,L30,0)</f>
        <v>0</v>
      </c>
      <c r="AK30" s="64">
        <f>IF(AN30=15,L30,0)</f>
        <v>0</v>
      </c>
      <c r="AL30" s="64">
        <f>IF(AN30=21,L30,0)</f>
        <v>963.96800000000007</v>
      </c>
      <c r="AN30" s="35">
        <v>21</v>
      </c>
      <c r="AO30" s="35">
        <f>I30*0</f>
        <v>0</v>
      </c>
      <c r="AP30" s="35">
        <f>I30*(1-0)</f>
        <v>443</v>
      </c>
      <c r="AQ30" s="84" t="s">
        <v>141</v>
      </c>
      <c r="AV30" s="35">
        <f>AW30+AX30</f>
        <v>963.96800000000007</v>
      </c>
      <c r="AW30" s="35">
        <f>H30*AO30</f>
        <v>0</v>
      </c>
      <c r="AX30" s="35">
        <f>H30*AP30</f>
        <v>963.96800000000007</v>
      </c>
      <c r="AY30" s="86" t="s">
        <v>1034</v>
      </c>
      <c r="AZ30" s="86" t="s">
        <v>1052</v>
      </c>
      <c r="BA30" s="83" t="s">
        <v>1076</v>
      </c>
      <c r="BC30" s="35">
        <f>AW30+AX30</f>
        <v>963.96800000000007</v>
      </c>
      <c r="BD30" s="35">
        <f>I30/(100-BE30)*100</f>
        <v>443</v>
      </c>
      <c r="BE30" s="35">
        <v>0</v>
      </c>
      <c r="BF30" s="35">
        <f>30</f>
        <v>30</v>
      </c>
      <c r="BH30" s="64">
        <f>H30*AO30</f>
        <v>0</v>
      </c>
      <c r="BI30" s="64">
        <f>H30*AP30</f>
        <v>963.96800000000007</v>
      </c>
      <c r="BJ30" s="64">
        <f>H30*I30</f>
        <v>963.96800000000007</v>
      </c>
      <c r="BK30" s="64" t="s">
        <v>1086</v>
      </c>
      <c r="BL30" s="35">
        <v>41</v>
      </c>
    </row>
    <row r="31" spans="1:64" x14ac:dyDescent="0.2">
      <c r="A31" s="47" t="s">
        <v>148</v>
      </c>
      <c r="B31" s="55" t="s">
        <v>62</v>
      </c>
      <c r="C31" s="55" t="s">
        <v>526</v>
      </c>
      <c r="D31" s="178" t="s">
        <v>845</v>
      </c>
      <c r="E31" s="179"/>
      <c r="F31" s="179"/>
      <c r="G31" s="55" t="s">
        <v>995</v>
      </c>
      <c r="H31" s="64">
        <v>0.63936000000000004</v>
      </c>
      <c r="I31" s="71">
        <v>7783</v>
      </c>
      <c r="J31" s="64">
        <f>H31*AO31</f>
        <v>0</v>
      </c>
      <c r="K31" s="64">
        <f>H31*AP31</f>
        <v>4976.1388800000004</v>
      </c>
      <c r="L31" s="64">
        <f>H31*I31</f>
        <v>4976.1388800000004</v>
      </c>
      <c r="M31" s="79" t="s">
        <v>1019</v>
      </c>
      <c r="N31" s="19"/>
      <c r="Z31" s="35">
        <f>IF(AQ31="5",BJ31,0)</f>
        <v>0</v>
      </c>
      <c r="AB31" s="35">
        <f>IF(AQ31="1",BH31,0)</f>
        <v>0</v>
      </c>
      <c r="AC31" s="35">
        <f>IF(AQ31="1",BI31,0)</f>
        <v>4976.1388800000004</v>
      </c>
      <c r="AD31" s="35">
        <f>IF(AQ31="7",BH31,0)</f>
        <v>0</v>
      </c>
      <c r="AE31" s="35">
        <f>IF(AQ31="7",BI31,0)</f>
        <v>0</v>
      </c>
      <c r="AF31" s="35">
        <f>IF(AQ31="2",BH31,0)</f>
        <v>0</v>
      </c>
      <c r="AG31" s="35">
        <f>IF(AQ31="2",BI31,0)</f>
        <v>0</v>
      </c>
      <c r="AH31" s="35">
        <f>IF(AQ31="0",BJ31,0)</f>
        <v>0</v>
      </c>
      <c r="AI31" s="83" t="s">
        <v>62</v>
      </c>
      <c r="AJ31" s="64">
        <f>IF(AN31=0,L31,0)</f>
        <v>0</v>
      </c>
      <c r="AK31" s="64">
        <f>IF(AN31=15,L31,0)</f>
        <v>0</v>
      </c>
      <c r="AL31" s="64">
        <f>IF(AN31=21,L31,0)</f>
        <v>4976.1388800000004</v>
      </c>
      <c r="AN31" s="35">
        <v>21</v>
      </c>
      <c r="AO31" s="35">
        <f>I31*0</f>
        <v>0</v>
      </c>
      <c r="AP31" s="35">
        <f>I31*(1-0)</f>
        <v>7783</v>
      </c>
      <c r="AQ31" s="84" t="s">
        <v>141</v>
      </c>
      <c r="AV31" s="35">
        <f>AW31+AX31</f>
        <v>4976.1388800000004</v>
      </c>
      <c r="AW31" s="35">
        <f>H31*AO31</f>
        <v>0</v>
      </c>
      <c r="AX31" s="35">
        <f>H31*AP31</f>
        <v>4976.1388800000004</v>
      </c>
      <c r="AY31" s="86" t="s">
        <v>1034</v>
      </c>
      <c r="AZ31" s="86" t="s">
        <v>1052</v>
      </c>
      <c r="BA31" s="83" t="s">
        <v>1076</v>
      </c>
      <c r="BC31" s="35">
        <f>AW31+AX31</f>
        <v>4976.1388800000004</v>
      </c>
      <c r="BD31" s="35">
        <f>I31/(100-BE31)*100</f>
        <v>7783</v>
      </c>
      <c r="BE31" s="35">
        <v>0</v>
      </c>
      <c r="BF31" s="35">
        <f>31</f>
        <v>31</v>
      </c>
      <c r="BH31" s="64">
        <f>H31*AO31</f>
        <v>0</v>
      </c>
      <c r="BI31" s="64">
        <f>H31*AP31</f>
        <v>4976.1388800000004</v>
      </c>
      <c r="BJ31" s="64">
        <f>H31*I31</f>
        <v>4976.1388800000004</v>
      </c>
      <c r="BK31" s="64" t="s">
        <v>1086</v>
      </c>
      <c r="BL31" s="35">
        <v>41</v>
      </c>
    </row>
    <row r="32" spans="1:64" x14ac:dyDescent="0.2">
      <c r="A32" s="19"/>
      <c r="C32" s="59" t="s">
        <v>521</v>
      </c>
      <c r="D32" s="180" t="s">
        <v>846</v>
      </c>
      <c r="E32" s="181"/>
      <c r="F32" s="181"/>
      <c r="G32" s="181"/>
      <c r="H32" s="181"/>
      <c r="I32" s="182"/>
      <c r="J32" s="181"/>
      <c r="K32" s="181"/>
      <c r="L32" s="181"/>
      <c r="M32" s="183"/>
      <c r="N32" s="19"/>
    </row>
    <row r="33" spans="1:64" x14ac:dyDescent="0.2">
      <c r="A33" s="47" t="s">
        <v>149</v>
      </c>
      <c r="B33" s="55" t="s">
        <v>62</v>
      </c>
      <c r="C33" s="55" t="s">
        <v>527</v>
      </c>
      <c r="D33" s="178" t="s">
        <v>847</v>
      </c>
      <c r="E33" s="179"/>
      <c r="F33" s="179"/>
      <c r="G33" s="55" t="s">
        <v>994</v>
      </c>
      <c r="H33" s="64">
        <v>286.86689999999999</v>
      </c>
      <c r="I33" s="71">
        <v>409</v>
      </c>
      <c r="J33" s="64">
        <f>H33*AO33</f>
        <v>0</v>
      </c>
      <c r="K33" s="64">
        <f>H33*AP33</f>
        <v>117328.5621</v>
      </c>
      <c r="L33" s="64">
        <f>H33*I33</f>
        <v>117328.5621</v>
      </c>
      <c r="M33" s="79" t="s">
        <v>1019</v>
      </c>
      <c r="N33" s="19"/>
      <c r="Z33" s="35">
        <f>IF(AQ33="5",BJ33,0)</f>
        <v>0</v>
      </c>
      <c r="AB33" s="35">
        <f>IF(AQ33="1",BH33,0)</f>
        <v>0</v>
      </c>
      <c r="AC33" s="35">
        <f>IF(AQ33="1",BI33,0)</f>
        <v>117328.5621</v>
      </c>
      <c r="AD33" s="35">
        <f>IF(AQ33="7",BH33,0)</f>
        <v>0</v>
      </c>
      <c r="AE33" s="35">
        <f>IF(AQ33="7",BI33,0)</f>
        <v>0</v>
      </c>
      <c r="AF33" s="35">
        <f>IF(AQ33="2",BH33,0)</f>
        <v>0</v>
      </c>
      <c r="AG33" s="35">
        <f>IF(AQ33="2",BI33,0)</f>
        <v>0</v>
      </c>
      <c r="AH33" s="35">
        <f>IF(AQ33="0",BJ33,0)</f>
        <v>0</v>
      </c>
      <c r="AI33" s="83" t="s">
        <v>62</v>
      </c>
      <c r="AJ33" s="64">
        <f>IF(AN33=0,L33,0)</f>
        <v>0</v>
      </c>
      <c r="AK33" s="64">
        <f>IF(AN33=15,L33,0)</f>
        <v>0</v>
      </c>
      <c r="AL33" s="64">
        <f>IF(AN33=21,L33,0)</f>
        <v>117328.5621</v>
      </c>
      <c r="AN33" s="35">
        <v>21</v>
      </c>
      <c r="AO33" s="35">
        <f>I33*0</f>
        <v>0</v>
      </c>
      <c r="AP33" s="35">
        <f>I33*(1-0)</f>
        <v>409</v>
      </c>
      <c r="AQ33" s="84" t="s">
        <v>141</v>
      </c>
      <c r="AV33" s="35">
        <f>AW33+AX33</f>
        <v>117328.5621</v>
      </c>
      <c r="AW33" s="35">
        <f>H33*AO33</f>
        <v>0</v>
      </c>
      <c r="AX33" s="35">
        <f>H33*AP33</f>
        <v>117328.5621</v>
      </c>
      <c r="AY33" s="86" t="s">
        <v>1034</v>
      </c>
      <c r="AZ33" s="86" t="s">
        <v>1052</v>
      </c>
      <c r="BA33" s="83" t="s">
        <v>1076</v>
      </c>
      <c r="BC33" s="35">
        <f>AW33+AX33</f>
        <v>117328.5621</v>
      </c>
      <c r="BD33" s="35">
        <f>I33/(100-BE33)*100</f>
        <v>409</v>
      </c>
      <c r="BE33" s="35">
        <v>0</v>
      </c>
      <c r="BF33" s="35">
        <f>33</f>
        <v>33</v>
      </c>
      <c r="BH33" s="64">
        <f>H33*AO33</f>
        <v>0</v>
      </c>
      <c r="BI33" s="64">
        <f>H33*AP33</f>
        <v>117328.5621</v>
      </c>
      <c r="BJ33" s="64">
        <f>H33*I33</f>
        <v>117328.5621</v>
      </c>
      <c r="BK33" s="64" t="s">
        <v>1086</v>
      </c>
      <c r="BL33" s="35">
        <v>41</v>
      </c>
    </row>
    <row r="34" spans="1:64" x14ac:dyDescent="0.2">
      <c r="A34" s="47" t="s">
        <v>150</v>
      </c>
      <c r="B34" s="55" t="s">
        <v>62</v>
      </c>
      <c r="C34" s="55" t="s">
        <v>528</v>
      </c>
      <c r="D34" s="178" t="s">
        <v>848</v>
      </c>
      <c r="E34" s="179"/>
      <c r="F34" s="179"/>
      <c r="G34" s="55" t="s">
        <v>994</v>
      </c>
      <c r="H34" s="64">
        <v>28.8</v>
      </c>
      <c r="I34" s="71">
        <v>574</v>
      </c>
      <c r="J34" s="64">
        <f>H34*AO34</f>
        <v>0</v>
      </c>
      <c r="K34" s="64">
        <f>H34*AP34</f>
        <v>16531.2</v>
      </c>
      <c r="L34" s="64">
        <f>H34*I34</f>
        <v>16531.2</v>
      </c>
      <c r="M34" s="79" t="s">
        <v>1019</v>
      </c>
      <c r="N34" s="19"/>
      <c r="Z34" s="35">
        <f>IF(AQ34="5",BJ34,0)</f>
        <v>0</v>
      </c>
      <c r="AB34" s="35">
        <f>IF(AQ34="1",BH34,0)</f>
        <v>0</v>
      </c>
      <c r="AC34" s="35">
        <f>IF(AQ34="1",BI34,0)</f>
        <v>16531.2</v>
      </c>
      <c r="AD34" s="35">
        <f>IF(AQ34="7",BH34,0)</f>
        <v>0</v>
      </c>
      <c r="AE34" s="35">
        <f>IF(AQ34="7",BI34,0)</f>
        <v>0</v>
      </c>
      <c r="AF34" s="35">
        <f>IF(AQ34="2",BH34,0)</f>
        <v>0</v>
      </c>
      <c r="AG34" s="35">
        <f>IF(AQ34="2",BI34,0)</f>
        <v>0</v>
      </c>
      <c r="AH34" s="35">
        <f>IF(AQ34="0",BJ34,0)</f>
        <v>0</v>
      </c>
      <c r="AI34" s="83" t="s">
        <v>62</v>
      </c>
      <c r="AJ34" s="64">
        <f>IF(AN34=0,L34,0)</f>
        <v>0</v>
      </c>
      <c r="AK34" s="64">
        <f>IF(AN34=15,L34,0)</f>
        <v>0</v>
      </c>
      <c r="AL34" s="64">
        <f>IF(AN34=21,L34,0)</f>
        <v>16531.2</v>
      </c>
      <c r="AN34" s="35">
        <v>21</v>
      </c>
      <c r="AO34" s="35">
        <f>I34*0</f>
        <v>0</v>
      </c>
      <c r="AP34" s="35">
        <f>I34*(1-0)</f>
        <v>574</v>
      </c>
      <c r="AQ34" s="84" t="s">
        <v>141</v>
      </c>
      <c r="AV34" s="35">
        <f>AW34+AX34</f>
        <v>16531.2</v>
      </c>
      <c r="AW34" s="35">
        <f>H34*AO34</f>
        <v>0</v>
      </c>
      <c r="AX34" s="35">
        <f>H34*AP34</f>
        <v>16531.2</v>
      </c>
      <c r="AY34" s="86" t="s">
        <v>1034</v>
      </c>
      <c r="AZ34" s="86" t="s">
        <v>1052</v>
      </c>
      <c r="BA34" s="83" t="s">
        <v>1076</v>
      </c>
      <c r="BC34" s="35">
        <f>AW34+AX34</f>
        <v>16531.2</v>
      </c>
      <c r="BD34" s="35">
        <f>I34/(100-BE34)*100</f>
        <v>574</v>
      </c>
      <c r="BE34" s="35">
        <v>0</v>
      </c>
      <c r="BF34" s="35">
        <f>34</f>
        <v>34</v>
      </c>
      <c r="BH34" s="64">
        <f>H34*AO34</f>
        <v>0</v>
      </c>
      <c r="BI34" s="64">
        <f>H34*AP34</f>
        <v>16531.2</v>
      </c>
      <c r="BJ34" s="64">
        <f>H34*I34</f>
        <v>16531.2</v>
      </c>
      <c r="BK34" s="64" t="s">
        <v>1086</v>
      </c>
      <c r="BL34" s="35">
        <v>41</v>
      </c>
    </row>
    <row r="35" spans="1:64" x14ac:dyDescent="0.2">
      <c r="A35" s="47" t="s">
        <v>151</v>
      </c>
      <c r="B35" s="55" t="s">
        <v>62</v>
      </c>
      <c r="C35" s="55" t="s">
        <v>529</v>
      </c>
      <c r="D35" s="178" t="s">
        <v>849</v>
      </c>
      <c r="E35" s="179"/>
      <c r="F35" s="179"/>
      <c r="G35" s="55" t="s">
        <v>994</v>
      </c>
      <c r="H35" s="64">
        <v>23.440999999999999</v>
      </c>
      <c r="I35" s="71">
        <v>513</v>
      </c>
      <c r="J35" s="64">
        <f>H35*AO35</f>
        <v>0</v>
      </c>
      <c r="K35" s="64">
        <f>H35*AP35</f>
        <v>12025.233</v>
      </c>
      <c r="L35" s="64">
        <f>H35*I35</f>
        <v>12025.233</v>
      </c>
      <c r="M35" s="79" t="s">
        <v>1019</v>
      </c>
      <c r="N35" s="19"/>
      <c r="Z35" s="35">
        <f>IF(AQ35="5",BJ35,0)</f>
        <v>0</v>
      </c>
      <c r="AB35" s="35">
        <f>IF(AQ35="1",BH35,0)</f>
        <v>0</v>
      </c>
      <c r="AC35" s="35">
        <f>IF(AQ35="1",BI35,0)</f>
        <v>12025.233</v>
      </c>
      <c r="AD35" s="35">
        <f>IF(AQ35="7",BH35,0)</f>
        <v>0</v>
      </c>
      <c r="AE35" s="35">
        <f>IF(AQ35="7",BI35,0)</f>
        <v>0</v>
      </c>
      <c r="AF35" s="35">
        <f>IF(AQ35="2",BH35,0)</f>
        <v>0</v>
      </c>
      <c r="AG35" s="35">
        <f>IF(AQ35="2",BI35,0)</f>
        <v>0</v>
      </c>
      <c r="AH35" s="35">
        <f>IF(AQ35="0",BJ35,0)</f>
        <v>0</v>
      </c>
      <c r="AI35" s="83" t="s">
        <v>62</v>
      </c>
      <c r="AJ35" s="64">
        <f>IF(AN35=0,L35,0)</f>
        <v>0</v>
      </c>
      <c r="AK35" s="64">
        <f>IF(AN35=15,L35,0)</f>
        <v>0</v>
      </c>
      <c r="AL35" s="64">
        <f>IF(AN35=21,L35,0)</f>
        <v>12025.233</v>
      </c>
      <c r="AN35" s="35">
        <v>21</v>
      </c>
      <c r="AO35" s="35">
        <f>I35*0</f>
        <v>0</v>
      </c>
      <c r="AP35" s="35">
        <f>I35*(1-0)</f>
        <v>513</v>
      </c>
      <c r="AQ35" s="84" t="s">
        <v>141</v>
      </c>
      <c r="AV35" s="35">
        <f>AW35+AX35</f>
        <v>12025.233</v>
      </c>
      <c r="AW35" s="35">
        <f>H35*AO35</f>
        <v>0</v>
      </c>
      <c r="AX35" s="35">
        <f>H35*AP35</f>
        <v>12025.233</v>
      </c>
      <c r="AY35" s="86" t="s">
        <v>1034</v>
      </c>
      <c r="AZ35" s="86" t="s">
        <v>1052</v>
      </c>
      <c r="BA35" s="83" t="s">
        <v>1076</v>
      </c>
      <c r="BC35" s="35">
        <f>AW35+AX35</f>
        <v>12025.233</v>
      </c>
      <c r="BD35" s="35">
        <f>I35/(100-BE35)*100</f>
        <v>513</v>
      </c>
      <c r="BE35" s="35">
        <v>0</v>
      </c>
      <c r="BF35" s="35">
        <f>35</f>
        <v>35</v>
      </c>
      <c r="BH35" s="64">
        <f>H35*AO35</f>
        <v>0</v>
      </c>
      <c r="BI35" s="64">
        <f>H35*AP35</f>
        <v>12025.233</v>
      </c>
      <c r="BJ35" s="64">
        <f>H35*I35</f>
        <v>12025.233</v>
      </c>
      <c r="BK35" s="64" t="s">
        <v>1086</v>
      </c>
      <c r="BL35" s="35">
        <v>41</v>
      </c>
    </row>
    <row r="36" spans="1:64" x14ac:dyDescent="0.2">
      <c r="A36" s="46"/>
      <c r="B36" s="54" t="s">
        <v>62</v>
      </c>
      <c r="C36" s="54" t="s">
        <v>106</v>
      </c>
      <c r="D36" s="176" t="s">
        <v>125</v>
      </c>
      <c r="E36" s="177"/>
      <c r="F36" s="177"/>
      <c r="G36" s="61" t="s">
        <v>60</v>
      </c>
      <c r="H36" s="61" t="s">
        <v>60</v>
      </c>
      <c r="I36" s="70" t="s">
        <v>60</v>
      </c>
      <c r="J36" s="89">
        <f>SUM(J37:J37)</f>
        <v>0</v>
      </c>
      <c r="K36" s="89">
        <f>SUM(K37:K37)</f>
        <v>2350.08</v>
      </c>
      <c r="L36" s="89">
        <f>SUM(L37:L37)</f>
        <v>2350.08</v>
      </c>
      <c r="M36" s="78"/>
      <c r="N36" s="19"/>
      <c r="AI36" s="83" t="s">
        <v>62</v>
      </c>
      <c r="AS36" s="89">
        <f>SUM(AJ37:AJ37)</f>
        <v>0</v>
      </c>
      <c r="AT36" s="89">
        <f>SUM(AK37:AK37)</f>
        <v>0</v>
      </c>
      <c r="AU36" s="89">
        <f>SUM(AL37:AL37)</f>
        <v>2350.08</v>
      </c>
    </row>
    <row r="37" spans="1:64" x14ac:dyDescent="0.2">
      <c r="A37" s="47" t="s">
        <v>152</v>
      </c>
      <c r="B37" s="55" t="s">
        <v>62</v>
      </c>
      <c r="C37" s="55" t="s">
        <v>530</v>
      </c>
      <c r="D37" s="178" t="s">
        <v>850</v>
      </c>
      <c r="E37" s="179"/>
      <c r="F37" s="179"/>
      <c r="G37" s="55" t="s">
        <v>994</v>
      </c>
      <c r="H37" s="64">
        <v>7.68</v>
      </c>
      <c r="I37" s="71">
        <v>306</v>
      </c>
      <c r="J37" s="64">
        <f>H37*AO37</f>
        <v>0</v>
      </c>
      <c r="K37" s="64">
        <f>H37*AP37</f>
        <v>2350.08</v>
      </c>
      <c r="L37" s="64">
        <f>H37*I37</f>
        <v>2350.08</v>
      </c>
      <c r="M37" s="79" t="s">
        <v>1019</v>
      </c>
      <c r="N37" s="19"/>
      <c r="Z37" s="35">
        <f>IF(AQ37="5",BJ37,0)</f>
        <v>0</v>
      </c>
      <c r="AB37" s="35">
        <f>IF(AQ37="1",BH37,0)</f>
        <v>0</v>
      </c>
      <c r="AC37" s="35">
        <f>IF(AQ37="1",BI37,0)</f>
        <v>2350.08</v>
      </c>
      <c r="AD37" s="35">
        <f>IF(AQ37="7",BH37,0)</f>
        <v>0</v>
      </c>
      <c r="AE37" s="35">
        <f>IF(AQ37="7",BI37,0)</f>
        <v>0</v>
      </c>
      <c r="AF37" s="35">
        <f>IF(AQ37="2",BH37,0)</f>
        <v>0</v>
      </c>
      <c r="AG37" s="35">
        <f>IF(AQ37="2",BI37,0)</f>
        <v>0</v>
      </c>
      <c r="AH37" s="35">
        <f>IF(AQ37="0",BJ37,0)</f>
        <v>0</v>
      </c>
      <c r="AI37" s="83" t="s">
        <v>62</v>
      </c>
      <c r="AJ37" s="64">
        <f>IF(AN37=0,L37,0)</f>
        <v>0</v>
      </c>
      <c r="AK37" s="64">
        <f>IF(AN37=15,L37,0)</f>
        <v>0</v>
      </c>
      <c r="AL37" s="64">
        <f>IF(AN37=21,L37,0)</f>
        <v>2350.08</v>
      </c>
      <c r="AN37" s="35">
        <v>21</v>
      </c>
      <c r="AO37" s="35">
        <f>I37*0</f>
        <v>0</v>
      </c>
      <c r="AP37" s="35">
        <f>I37*(1-0)</f>
        <v>306</v>
      </c>
      <c r="AQ37" s="84" t="s">
        <v>141</v>
      </c>
      <c r="AV37" s="35">
        <f>AW37+AX37</f>
        <v>2350.08</v>
      </c>
      <c r="AW37" s="35">
        <f>H37*AO37</f>
        <v>0</v>
      </c>
      <c r="AX37" s="35">
        <f>H37*AP37</f>
        <v>2350.08</v>
      </c>
      <c r="AY37" s="86" t="s">
        <v>1035</v>
      </c>
      <c r="AZ37" s="86" t="s">
        <v>1053</v>
      </c>
      <c r="BA37" s="83" t="s">
        <v>1076</v>
      </c>
      <c r="BC37" s="35">
        <f>AW37+AX37</f>
        <v>2350.08</v>
      </c>
      <c r="BD37" s="35">
        <f>I37/(100-BE37)*100</f>
        <v>306</v>
      </c>
      <c r="BE37" s="35">
        <v>0</v>
      </c>
      <c r="BF37" s="35">
        <f>37</f>
        <v>37</v>
      </c>
      <c r="BH37" s="64">
        <f>H37*AO37</f>
        <v>0</v>
      </c>
      <c r="BI37" s="64">
        <f>H37*AP37</f>
        <v>2350.08</v>
      </c>
      <c r="BJ37" s="64">
        <f>H37*I37</f>
        <v>2350.08</v>
      </c>
      <c r="BK37" s="64" t="s">
        <v>1086</v>
      </c>
      <c r="BL37" s="35">
        <v>60</v>
      </c>
    </row>
    <row r="38" spans="1:64" x14ac:dyDescent="0.2">
      <c r="A38" s="19"/>
      <c r="C38" s="59" t="s">
        <v>521</v>
      </c>
      <c r="D38" s="180" t="s">
        <v>851</v>
      </c>
      <c r="E38" s="181"/>
      <c r="F38" s="181"/>
      <c r="G38" s="181"/>
      <c r="H38" s="181"/>
      <c r="I38" s="182"/>
      <c r="J38" s="181"/>
      <c r="K38" s="181"/>
      <c r="L38" s="181"/>
      <c r="M38" s="183"/>
      <c r="N38" s="19"/>
    </row>
    <row r="39" spans="1:64" x14ac:dyDescent="0.2">
      <c r="A39" s="46"/>
      <c r="B39" s="54" t="s">
        <v>62</v>
      </c>
      <c r="C39" s="54" t="s">
        <v>107</v>
      </c>
      <c r="D39" s="176" t="s">
        <v>126</v>
      </c>
      <c r="E39" s="177"/>
      <c r="F39" s="177"/>
      <c r="G39" s="61" t="s">
        <v>60</v>
      </c>
      <c r="H39" s="61" t="s">
        <v>60</v>
      </c>
      <c r="I39" s="70" t="s">
        <v>60</v>
      </c>
      <c r="J39" s="89">
        <f>SUM(J40:J40)</f>
        <v>0</v>
      </c>
      <c r="K39" s="89">
        <f>SUM(K40:K40)</f>
        <v>2034.72</v>
      </c>
      <c r="L39" s="89">
        <f>SUM(L40:L40)</f>
        <v>2034.72</v>
      </c>
      <c r="M39" s="78"/>
      <c r="N39" s="19"/>
      <c r="AI39" s="83" t="s">
        <v>62</v>
      </c>
      <c r="AS39" s="89">
        <f>SUM(AJ40:AJ40)</f>
        <v>0</v>
      </c>
      <c r="AT39" s="89">
        <f>SUM(AK40:AK40)</f>
        <v>0</v>
      </c>
      <c r="AU39" s="89">
        <f>SUM(AL40:AL40)</f>
        <v>2034.72</v>
      </c>
    </row>
    <row r="40" spans="1:64" x14ac:dyDescent="0.2">
      <c r="A40" s="47" t="s">
        <v>153</v>
      </c>
      <c r="B40" s="55" t="s">
        <v>62</v>
      </c>
      <c r="C40" s="55" t="s">
        <v>531</v>
      </c>
      <c r="D40" s="178" t="s">
        <v>852</v>
      </c>
      <c r="E40" s="179"/>
      <c r="F40" s="179"/>
      <c r="G40" s="55" t="s">
        <v>994</v>
      </c>
      <c r="H40" s="64">
        <v>6.48</v>
      </c>
      <c r="I40" s="71">
        <v>314</v>
      </c>
      <c r="J40" s="64">
        <f>H40*AO40</f>
        <v>0</v>
      </c>
      <c r="K40" s="64">
        <f>H40*AP40</f>
        <v>2034.72</v>
      </c>
      <c r="L40" s="64">
        <f>H40*I40</f>
        <v>2034.72</v>
      </c>
      <c r="M40" s="79" t="s">
        <v>1019</v>
      </c>
      <c r="N40" s="19"/>
      <c r="Z40" s="35">
        <f>IF(AQ40="5",BJ40,0)</f>
        <v>0</v>
      </c>
      <c r="AB40" s="35">
        <f>IF(AQ40="1",BH40,0)</f>
        <v>0</v>
      </c>
      <c r="AC40" s="35">
        <f>IF(AQ40="1",BI40,0)</f>
        <v>2034.72</v>
      </c>
      <c r="AD40" s="35">
        <f>IF(AQ40="7",BH40,0)</f>
        <v>0</v>
      </c>
      <c r="AE40" s="35">
        <f>IF(AQ40="7",BI40,0)</f>
        <v>0</v>
      </c>
      <c r="AF40" s="35">
        <f>IF(AQ40="2",BH40,0)</f>
        <v>0</v>
      </c>
      <c r="AG40" s="35">
        <f>IF(AQ40="2",BI40,0)</f>
        <v>0</v>
      </c>
      <c r="AH40" s="35">
        <f>IF(AQ40="0",BJ40,0)</f>
        <v>0</v>
      </c>
      <c r="AI40" s="83" t="s">
        <v>62</v>
      </c>
      <c r="AJ40" s="64">
        <f>IF(AN40=0,L40,0)</f>
        <v>0</v>
      </c>
      <c r="AK40" s="64">
        <f>IF(AN40=15,L40,0)</f>
        <v>0</v>
      </c>
      <c r="AL40" s="64">
        <f>IF(AN40=21,L40,0)</f>
        <v>2034.72</v>
      </c>
      <c r="AN40" s="35">
        <v>21</v>
      </c>
      <c r="AO40" s="35">
        <f>I40*0</f>
        <v>0</v>
      </c>
      <c r="AP40" s="35">
        <f>I40*(1-0)</f>
        <v>314</v>
      </c>
      <c r="AQ40" s="84" t="s">
        <v>141</v>
      </c>
      <c r="AV40" s="35">
        <f>AW40+AX40</f>
        <v>2034.72</v>
      </c>
      <c r="AW40" s="35">
        <f>H40*AO40</f>
        <v>0</v>
      </c>
      <c r="AX40" s="35">
        <f>H40*AP40</f>
        <v>2034.72</v>
      </c>
      <c r="AY40" s="86" t="s">
        <v>1036</v>
      </c>
      <c r="AZ40" s="86" t="s">
        <v>1053</v>
      </c>
      <c r="BA40" s="83" t="s">
        <v>1076</v>
      </c>
      <c r="BC40" s="35">
        <f>AW40+AX40</f>
        <v>2034.72</v>
      </c>
      <c r="BD40" s="35">
        <f>I40/(100-BE40)*100</f>
        <v>314</v>
      </c>
      <c r="BE40" s="35">
        <v>0</v>
      </c>
      <c r="BF40" s="35">
        <f>40</f>
        <v>40</v>
      </c>
      <c r="BH40" s="64">
        <f>H40*AO40</f>
        <v>0</v>
      </c>
      <c r="BI40" s="64">
        <f>H40*AP40</f>
        <v>2034.72</v>
      </c>
      <c r="BJ40" s="64">
        <f>H40*I40</f>
        <v>2034.72</v>
      </c>
      <c r="BK40" s="64" t="s">
        <v>1086</v>
      </c>
      <c r="BL40" s="35">
        <v>61</v>
      </c>
    </row>
    <row r="41" spans="1:64" x14ac:dyDescent="0.2">
      <c r="A41" s="46"/>
      <c r="B41" s="54" t="s">
        <v>62</v>
      </c>
      <c r="C41" s="54" t="s">
        <v>108</v>
      </c>
      <c r="D41" s="176" t="s">
        <v>127</v>
      </c>
      <c r="E41" s="177"/>
      <c r="F41" s="177"/>
      <c r="G41" s="61" t="s">
        <v>60</v>
      </c>
      <c r="H41" s="61" t="s">
        <v>60</v>
      </c>
      <c r="I41" s="70" t="s">
        <v>60</v>
      </c>
      <c r="J41" s="89">
        <f>SUM(J42:J42)</f>
        <v>0</v>
      </c>
      <c r="K41" s="89">
        <f>SUM(K42:K42)</f>
        <v>7868.3136000000004</v>
      </c>
      <c r="L41" s="89">
        <f>SUM(L42:L42)</f>
        <v>7868.3136000000004</v>
      </c>
      <c r="M41" s="78"/>
      <c r="N41" s="19"/>
      <c r="AI41" s="83" t="s">
        <v>62</v>
      </c>
      <c r="AS41" s="89">
        <f>SUM(AJ42:AJ42)</f>
        <v>0</v>
      </c>
      <c r="AT41" s="89">
        <f>SUM(AK42:AK42)</f>
        <v>0</v>
      </c>
      <c r="AU41" s="89">
        <f>SUM(AL42:AL42)</f>
        <v>7868.3136000000004</v>
      </c>
    </row>
    <row r="42" spans="1:64" x14ac:dyDescent="0.2">
      <c r="A42" s="47" t="s">
        <v>154</v>
      </c>
      <c r="B42" s="55" t="s">
        <v>62</v>
      </c>
      <c r="C42" s="55" t="s">
        <v>532</v>
      </c>
      <c r="D42" s="178" t="s">
        <v>853</v>
      </c>
      <c r="E42" s="179"/>
      <c r="F42" s="179"/>
      <c r="G42" s="55" t="s">
        <v>997</v>
      </c>
      <c r="H42" s="64">
        <v>93.670400000000001</v>
      </c>
      <c r="I42" s="71">
        <v>84</v>
      </c>
      <c r="J42" s="64">
        <f>H42*AO42</f>
        <v>0</v>
      </c>
      <c r="K42" s="64">
        <f>H42*AP42</f>
        <v>7868.3136000000004</v>
      </c>
      <c r="L42" s="64">
        <f>H42*I42</f>
        <v>7868.3136000000004</v>
      </c>
      <c r="M42" s="79" t="s">
        <v>1019</v>
      </c>
      <c r="N42" s="19"/>
      <c r="Z42" s="35">
        <f>IF(AQ42="5",BJ42,0)</f>
        <v>0</v>
      </c>
      <c r="AB42" s="35">
        <f>IF(AQ42="1",BH42,0)</f>
        <v>0</v>
      </c>
      <c r="AC42" s="35">
        <f>IF(AQ42="1",BI42,0)</f>
        <v>7868.3136000000004</v>
      </c>
      <c r="AD42" s="35">
        <f>IF(AQ42="7",BH42,0)</f>
        <v>0</v>
      </c>
      <c r="AE42" s="35">
        <f>IF(AQ42="7",BI42,0)</f>
        <v>0</v>
      </c>
      <c r="AF42" s="35">
        <f>IF(AQ42="2",BH42,0)</f>
        <v>0</v>
      </c>
      <c r="AG42" s="35">
        <f>IF(AQ42="2",BI42,0)</f>
        <v>0</v>
      </c>
      <c r="AH42" s="35">
        <f>IF(AQ42="0",BJ42,0)</f>
        <v>0</v>
      </c>
      <c r="AI42" s="83" t="s">
        <v>62</v>
      </c>
      <c r="AJ42" s="64">
        <f>IF(AN42=0,L42,0)</f>
        <v>0</v>
      </c>
      <c r="AK42" s="64">
        <f>IF(AN42=15,L42,0)</f>
        <v>0</v>
      </c>
      <c r="AL42" s="64">
        <f>IF(AN42=21,L42,0)</f>
        <v>7868.3136000000004</v>
      </c>
      <c r="AN42" s="35">
        <v>21</v>
      </c>
      <c r="AO42" s="35">
        <f>I42*0</f>
        <v>0</v>
      </c>
      <c r="AP42" s="35">
        <f>I42*(1-0)</f>
        <v>84</v>
      </c>
      <c r="AQ42" s="84" t="s">
        <v>141</v>
      </c>
      <c r="AV42" s="35">
        <f>AW42+AX42</f>
        <v>7868.3136000000004</v>
      </c>
      <c r="AW42" s="35">
        <f>H42*AO42</f>
        <v>0</v>
      </c>
      <c r="AX42" s="35">
        <f>H42*AP42</f>
        <v>7868.3136000000004</v>
      </c>
      <c r="AY42" s="86" t="s">
        <v>1037</v>
      </c>
      <c r="AZ42" s="86" t="s">
        <v>1053</v>
      </c>
      <c r="BA42" s="83" t="s">
        <v>1076</v>
      </c>
      <c r="BC42" s="35">
        <f>AW42+AX42</f>
        <v>7868.3136000000004</v>
      </c>
      <c r="BD42" s="35">
        <f>I42/(100-BE42)*100</f>
        <v>84</v>
      </c>
      <c r="BE42" s="35">
        <v>0</v>
      </c>
      <c r="BF42" s="35">
        <f>42</f>
        <v>42</v>
      </c>
      <c r="BH42" s="64">
        <f>H42*AO42</f>
        <v>0</v>
      </c>
      <c r="BI42" s="64">
        <f>H42*AP42</f>
        <v>7868.3136000000004</v>
      </c>
      <c r="BJ42" s="64">
        <f>H42*I42</f>
        <v>7868.3136000000004</v>
      </c>
      <c r="BK42" s="64" t="s">
        <v>1086</v>
      </c>
      <c r="BL42" s="35">
        <v>64</v>
      </c>
    </row>
    <row r="43" spans="1:64" x14ac:dyDescent="0.2">
      <c r="A43" s="46"/>
      <c r="B43" s="54" t="s">
        <v>62</v>
      </c>
      <c r="C43" s="54" t="s">
        <v>109</v>
      </c>
      <c r="D43" s="176" t="s">
        <v>128</v>
      </c>
      <c r="E43" s="177"/>
      <c r="F43" s="177"/>
      <c r="G43" s="61" t="s">
        <v>60</v>
      </c>
      <c r="H43" s="61" t="s">
        <v>60</v>
      </c>
      <c r="I43" s="70" t="s">
        <v>60</v>
      </c>
      <c r="J43" s="89">
        <f>SUM(J44:J45)</f>
        <v>0</v>
      </c>
      <c r="K43" s="89">
        <f>SUM(K44:K45)</f>
        <v>29.387999999999998</v>
      </c>
      <c r="L43" s="89">
        <f>SUM(L44:L45)</f>
        <v>29.387999999999998</v>
      </c>
      <c r="M43" s="78"/>
      <c r="N43" s="19"/>
      <c r="AI43" s="83" t="s">
        <v>62</v>
      </c>
      <c r="AS43" s="89">
        <f>SUM(AJ44:AJ45)</f>
        <v>0</v>
      </c>
      <c r="AT43" s="89">
        <f>SUM(AK44:AK45)</f>
        <v>0</v>
      </c>
      <c r="AU43" s="89">
        <f>SUM(AL44:AL45)</f>
        <v>29.387999999999998</v>
      </c>
    </row>
    <row r="44" spans="1:64" x14ac:dyDescent="0.2">
      <c r="A44" s="47" t="s">
        <v>155</v>
      </c>
      <c r="B44" s="55" t="s">
        <v>62</v>
      </c>
      <c r="C44" s="55" t="s">
        <v>533</v>
      </c>
      <c r="D44" s="178" t="s">
        <v>854</v>
      </c>
      <c r="E44" s="179"/>
      <c r="F44" s="179"/>
      <c r="G44" s="55" t="s">
        <v>994</v>
      </c>
      <c r="H44" s="64">
        <v>1.2</v>
      </c>
      <c r="I44" s="71">
        <v>16</v>
      </c>
      <c r="J44" s="64">
        <f>H44*AO44</f>
        <v>0</v>
      </c>
      <c r="K44" s="64">
        <f>H44*AP44</f>
        <v>19.2</v>
      </c>
      <c r="L44" s="64">
        <f>H44*I44</f>
        <v>19.2</v>
      </c>
      <c r="M44" s="79" t="s">
        <v>1019</v>
      </c>
      <c r="N44" s="19"/>
      <c r="Z44" s="35">
        <f>IF(AQ44="5",BJ44,0)</f>
        <v>0</v>
      </c>
      <c r="AB44" s="35">
        <f>IF(AQ44="1",BH44,0)</f>
        <v>0</v>
      </c>
      <c r="AC44" s="35">
        <f>IF(AQ44="1",BI44,0)</f>
        <v>0</v>
      </c>
      <c r="AD44" s="35">
        <f>IF(AQ44="7",BH44,0)</f>
        <v>0</v>
      </c>
      <c r="AE44" s="35">
        <f>IF(AQ44="7",BI44,0)</f>
        <v>19.2</v>
      </c>
      <c r="AF44" s="35">
        <f>IF(AQ44="2",BH44,0)</f>
        <v>0</v>
      </c>
      <c r="AG44" s="35">
        <f>IF(AQ44="2",BI44,0)</f>
        <v>0</v>
      </c>
      <c r="AH44" s="35">
        <f>IF(AQ44="0",BJ44,0)</f>
        <v>0</v>
      </c>
      <c r="AI44" s="83" t="s">
        <v>62</v>
      </c>
      <c r="AJ44" s="64">
        <f>IF(AN44=0,L44,0)</f>
        <v>0</v>
      </c>
      <c r="AK44" s="64">
        <f>IF(AN44=15,L44,0)</f>
        <v>0</v>
      </c>
      <c r="AL44" s="64">
        <f>IF(AN44=21,L44,0)</f>
        <v>19.2</v>
      </c>
      <c r="AN44" s="35">
        <v>21</v>
      </c>
      <c r="AO44" s="35">
        <f>I44*0</f>
        <v>0</v>
      </c>
      <c r="AP44" s="35">
        <f>I44*(1-0)</f>
        <v>16</v>
      </c>
      <c r="AQ44" s="84" t="s">
        <v>144</v>
      </c>
      <c r="AV44" s="35">
        <f>AW44+AX44</f>
        <v>19.2</v>
      </c>
      <c r="AW44" s="35">
        <f>H44*AO44</f>
        <v>0</v>
      </c>
      <c r="AX44" s="35">
        <f>H44*AP44</f>
        <v>19.2</v>
      </c>
      <c r="AY44" s="86" t="s">
        <v>1038</v>
      </c>
      <c r="AZ44" s="86" t="s">
        <v>1050</v>
      </c>
      <c r="BA44" s="83" t="s">
        <v>1076</v>
      </c>
      <c r="BC44" s="35">
        <f>AW44+AX44</f>
        <v>19.2</v>
      </c>
      <c r="BD44" s="35">
        <f>I44/(100-BE44)*100</f>
        <v>16</v>
      </c>
      <c r="BE44" s="35">
        <v>0</v>
      </c>
      <c r="BF44" s="35">
        <f>44</f>
        <v>44</v>
      </c>
      <c r="BH44" s="64">
        <f>H44*AO44</f>
        <v>0</v>
      </c>
      <c r="BI44" s="64">
        <f>H44*AP44</f>
        <v>19.2</v>
      </c>
      <c r="BJ44" s="64">
        <f>H44*I44</f>
        <v>19.2</v>
      </c>
      <c r="BK44" s="64" t="s">
        <v>1086</v>
      </c>
      <c r="BL44" s="35">
        <v>712</v>
      </c>
    </row>
    <row r="45" spans="1:64" x14ac:dyDescent="0.2">
      <c r="A45" s="47" t="s">
        <v>156</v>
      </c>
      <c r="B45" s="55" t="s">
        <v>62</v>
      </c>
      <c r="C45" s="55" t="s">
        <v>534</v>
      </c>
      <c r="D45" s="178" t="s">
        <v>855</v>
      </c>
      <c r="E45" s="179"/>
      <c r="F45" s="179"/>
      <c r="G45" s="55" t="s">
        <v>995</v>
      </c>
      <c r="H45" s="64">
        <v>1.2E-2</v>
      </c>
      <c r="I45" s="71">
        <v>849</v>
      </c>
      <c r="J45" s="64">
        <f>H45*AO45</f>
        <v>0</v>
      </c>
      <c r="K45" s="64">
        <f>H45*AP45</f>
        <v>10.188000000000001</v>
      </c>
      <c r="L45" s="64">
        <f>H45*I45</f>
        <v>10.188000000000001</v>
      </c>
      <c r="M45" s="79" t="s">
        <v>1019</v>
      </c>
      <c r="N45" s="19"/>
      <c r="Z45" s="35">
        <f>IF(AQ45="5",BJ45,0)</f>
        <v>10.188000000000001</v>
      </c>
      <c r="AB45" s="35">
        <f>IF(AQ45="1",BH45,0)</f>
        <v>0</v>
      </c>
      <c r="AC45" s="35">
        <f>IF(AQ45="1",BI45,0)</f>
        <v>0</v>
      </c>
      <c r="AD45" s="35">
        <f>IF(AQ45="7",BH45,0)</f>
        <v>0</v>
      </c>
      <c r="AE45" s="35">
        <f>IF(AQ45="7",BI45,0)</f>
        <v>0</v>
      </c>
      <c r="AF45" s="35">
        <f>IF(AQ45="2",BH45,0)</f>
        <v>0</v>
      </c>
      <c r="AG45" s="35">
        <f>IF(AQ45="2",BI45,0)</f>
        <v>0</v>
      </c>
      <c r="AH45" s="35">
        <f>IF(AQ45="0",BJ45,0)</f>
        <v>0</v>
      </c>
      <c r="AI45" s="83" t="s">
        <v>62</v>
      </c>
      <c r="AJ45" s="64">
        <f>IF(AN45=0,L45,0)</f>
        <v>0</v>
      </c>
      <c r="AK45" s="64">
        <f>IF(AN45=15,L45,0)</f>
        <v>0</v>
      </c>
      <c r="AL45" s="64">
        <f>IF(AN45=21,L45,0)</f>
        <v>10.188000000000001</v>
      </c>
      <c r="AN45" s="35">
        <v>21</v>
      </c>
      <c r="AO45" s="35">
        <f>I45*0</f>
        <v>0</v>
      </c>
      <c r="AP45" s="35">
        <f>I45*(1-0)</f>
        <v>849</v>
      </c>
      <c r="AQ45" s="84" t="s">
        <v>143</v>
      </c>
      <c r="AV45" s="35">
        <f>AW45+AX45</f>
        <v>10.188000000000001</v>
      </c>
      <c r="AW45" s="35">
        <f>H45*AO45</f>
        <v>0</v>
      </c>
      <c r="AX45" s="35">
        <f>H45*AP45</f>
        <v>10.188000000000001</v>
      </c>
      <c r="AY45" s="86" t="s">
        <v>1038</v>
      </c>
      <c r="AZ45" s="86" t="s">
        <v>1050</v>
      </c>
      <c r="BA45" s="83" t="s">
        <v>1076</v>
      </c>
      <c r="BC45" s="35">
        <f>AW45+AX45</f>
        <v>10.188000000000001</v>
      </c>
      <c r="BD45" s="35">
        <f>I45/(100-BE45)*100</f>
        <v>849</v>
      </c>
      <c r="BE45" s="35">
        <v>0</v>
      </c>
      <c r="BF45" s="35">
        <f>45</f>
        <v>45</v>
      </c>
      <c r="BH45" s="64">
        <f>H45*AO45</f>
        <v>0</v>
      </c>
      <c r="BI45" s="64">
        <f>H45*AP45</f>
        <v>10.188000000000001</v>
      </c>
      <c r="BJ45" s="64">
        <f>H45*I45</f>
        <v>10.188000000000001</v>
      </c>
      <c r="BK45" s="64" t="s">
        <v>1086</v>
      </c>
      <c r="BL45" s="35">
        <v>712</v>
      </c>
    </row>
    <row r="46" spans="1:64" x14ac:dyDescent="0.2">
      <c r="A46" s="46"/>
      <c r="B46" s="54" t="s">
        <v>62</v>
      </c>
      <c r="C46" s="54" t="s">
        <v>110</v>
      </c>
      <c r="D46" s="176" t="s">
        <v>129</v>
      </c>
      <c r="E46" s="177"/>
      <c r="F46" s="177"/>
      <c r="G46" s="61" t="s">
        <v>60</v>
      </c>
      <c r="H46" s="61" t="s">
        <v>60</v>
      </c>
      <c r="I46" s="70" t="s">
        <v>60</v>
      </c>
      <c r="J46" s="89">
        <f>SUM(J47:J47)</f>
        <v>0</v>
      </c>
      <c r="K46" s="89">
        <f>SUM(K47:K47)</f>
        <v>46.8</v>
      </c>
      <c r="L46" s="89">
        <f>SUM(L47:L47)</f>
        <v>46.8</v>
      </c>
      <c r="M46" s="78"/>
      <c r="N46" s="19"/>
      <c r="AI46" s="83" t="s">
        <v>62</v>
      </c>
      <c r="AS46" s="89">
        <f>SUM(AJ47:AJ47)</f>
        <v>0</v>
      </c>
      <c r="AT46" s="89">
        <f>SUM(AK47:AK47)</f>
        <v>0</v>
      </c>
      <c r="AU46" s="89">
        <f>SUM(AL47:AL47)</f>
        <v>46.8</v>
      </c>
    </row>
    <row r="47" spans="1:64" x14ac:dyDescent="0.2">
      <c r="A47" s="47" t="s">
        <v>157</v>
      </c>
      <c r="B47" s="55" t="s">
        <v>62</v>
      </c>
      <c r="C47" s="55" t="s">
        <v>535</v>
      </c>
      <c r="D47" s="178" t="s">
        <v>856</v>
      </c>
      <c r="E47" s="179"/>
      <c r="F47" s="179"/>
      <c r="G47" s="55" t="s">
        <v>994</v>
      </c>
      <c r="H47" s="64">
        <v>1.2</v>
      </c>
      <c r="I47" s="71">
        <v>39</v>
      </c>
      <c r="J47" s="64">
        <f>H47*AO47</f>
        <v>0</v>
      </c>
      <c r="K47" s="64">
        <f>H47*AP47</f>
        <v>46.8</v>
      </c>
      <c r="L47" s="64">
        <f>H47*I47</f>
        <v>46.8</v>
      </c>
      <c r="M47" s="79" t="s">
        <v>1019</v>
      </c>
      <c r="N47" s="19"/>
      <c r="Z47" s="35">
        <f>IF(AQ47="5",BJ47,0)</f>
        <v>0</v>
      </c>
      <c r="AB47" s="35">
        <f>IF(AQ47="1",BH47,0)</f>
        <v>0</v>
      </c>
      <c r="AC47" s="35">
        <f>IF(AQ47="1",BI47,0)</f>
        <v>46.8</v>
      </c>
      <c r="AD47" s="35">
        <f>IF(AQ47="7",BH47,0)</f>
        <v>0</v>
      </c>
      <c r="AE47" s="35">
        <f>IF(AQ47="7",BI47,0)</f>
        <v>0</v>
      </c>
      <c r="AF47" s="35">
        <f>IF(AQ47="2",BH47,0)</f>
        <v>0</v>
      </c>
      <c r="AG47" s="35">
        <f>IF(AQ47="2",BI47,0)</f>
        <v>0</v>
      </c>
      <c r="AH47" s="35">
        <f>IF(AQ47="0",BJ47,0)</f>
        <v>0</v>
      </c>
      <c r="AI47" s="83" t="s">
        <v>62</v>
      </c>
      <c r="AJ47" s="64">
        <f>IF(AN47=0,L47,0)</f>
        <v>0</v>
      </c>
      <c r="AK47" s="64">
        <f>IF(AN47=15,L47,0)</f>
        <v>0</v>
      </c>
      <c r="AL47" s="64">
        <f>IF(AN47=21,L47,0)</f>
        <v>46.8</v>
      </c>
      <c r="AN47" s="35">
        <v>21</v>
      </c>
      <c r="AO47" s="35">
        <f>I47*0</f>
        <v>0</v>
      </c>
      <c r="AP47" s="35">
        <f>I47*(1-0)</f>
        <v>39</v>
      </c>
      <c r="AQ47" s="84" t="s">
        <v>141</v>
      </c>
      <c r="AV47" s="35">
        <f>AW47+AX47</f>
        <v>46.8</v>
      </c>
      <c r="AW47" s="35">
        <f>H47*AO47</f>
        <v>0</v>
      </c>
      <c r="AX47" s="35">
        <f>H47*AP47</f>
        <v>46.8</v>
      </c>
      <c r="AY47" s="86" t="s">
        <v>1039</v>
      </c>
      <c r="AZ47" s="86" t="s">
        <v>1054</v>
      </c>
      <c r="BA47" s="83" t="s">
        <v>1076</v>
      </c>
      <c r="BC47" s="35">
        <f>AW47+AX47</f>
        <v>46.8</v>
      </c>
      <c r="BD47" s="35">
        <f>I47/(100-BE47)*100</f>
        <v>39</v>
      </c>
      <c r="BE47" s="35">
        <v>0</v>
      </c>
      <c r="BF47" s="35">
        <f>47</f>
        <v>47</v>
      </c>
      <c r="BH47" s="64">
        <f>H47*AO47</f>
        <v>0</v>
      </c>
      <c r="BI47" s="64">
        <f>H47*AP47</f>
        <v>46.8</v>
      </c>
      <c r="BJ47" s="64">
        <f>H47*I47</f>
        <v>46.8</v>
      </c>
      <c r="BK47" s="64" t="s">
        <v>1086</v>
      </c>
      <c r="BL47" s="35">
        <v>96</v>
      </c>
    </row>
    <row r="48" spans="1:64" x14ac:dyDescent="0.2">
      <c r="A48" s="46"/>
      <c r="B48" s="54" t="s">
        <v>62</v>
      </c>
      <c r="C48" s="54" t="s">
        <v>111</v>
      </c>
      <c r="D48" s="176" t="s">
        <v>130</v>
      </c>
      <c r="E48" s="177"/>
      <c r="F48" s="177"/>
      <c r="G48" s="61" t="s">
        <v>60</v>
      </c>
      <c r="H48" s="61" t="s">
        <v>60</v>
      </c>
      <c r="I48" s="70" t="s">
        <v>60</v>
      </c>
      <c r="J48" s="89">
        <f>SUM(J49:J53)</f>
        <v>0</v>
      </c>
      <c r="K48" s="89">
        <f>SUM(K49:K53)</f>
        <v>23337.040000000001</v>
      </c>
      <c r="L48" s="89">
        <f>SUM(L49:L53)</f>
        <v>23337.040000000001</v>
      </c>
      <c r="M48" s="78"/>
      <c r="N48" s="19"/>
      <c r="AI48" s="83" t="s">
        <v>62</v>
      </c>
      <c r="AS48" s="89">
        <f>SUM(AJ49:AJ53)</f>
        <v>0</v>
      </c>
      <c r="AT48" s="89">
        <f>SUM(AK49:AK53)</f>
        <v>0</v>
      </c>
      <c r="AU48" s="89">
        <f>SUM(AL49:AL53)</f>
        <v>23337.040000000001</v>
      </c>
    </row>
    <row r="49" spans="1:64" x14ac:dyDescent="0.2">
      <c r="A49" s="47" t="s">
        <v>158</v>
      </c>
      <c r="B49" s="55" t="s">
        <v>62</v>
      </c>
      <c r="C49" s="55" t="s">
        <v>536</v>
      </c>
      <c r="D49" s="178" t="s">
        <v>857</v>
      </c>
      <c r="E49" s="179"/>
      <c r="F49" s="179"/>
      <c r="G49" s="55" t="s">
        <v>998</v>
      </c>
      <c r="H49" s="64">
        <v>20</v>
      </c>
      <c r="I49" s="71">
        <v>78</v>
      </c>
      <c r="J49" s="64">
        <f>H49*AO49</f>
        <v>0</v>
      </c>
      <c r="K49" s="64">
        <f>H49*AP49</f>
        <v>1560</v>
      </c>
      <c r="L49" s="64">
        <f>H49*I49</f>
        <v>1560</v>
      </c>
      <c r="M49" s="79" t="s">
        <v>1019</v>
      </c>
      <c r="N49" s="19"/>
      <c r="Z49" s="35">
        <f>IF(AQ49="5",BJ49,0)</f>
        <v>0</v>
      </c>
      <c r="AB49" s="35">
        <f>IF(AQ49="1",BH49,0)</f>
        <v>0</v>
      </c>
      <c r="AC49" s="35">
        <f>IF(AQ49="1",BI49,0)</f>
        <v>1560</v>
      </c>
      <c r="AD49" s="35">
        <f>IF(AQ49="7",BH49,0)</f>
        <v>0</v>
      </c>
      <c r="AE49" s="35">
        <f>IF(AQ49="7",BI49,0)</f>
        <v>0</v>
      </c>
      <c r="AF49" s="35">
        <f>IF(AQ49="2",BH49,0)</f>
        <v>0</v>
      </c>
      <c r="AG49" s="35">
        <f>IF(AQ49="2",BI49,0)</f>
        <v>0</v>
      </c>
      <c r="AH49" s="35">
        <f>IF(AQ49="0",BJ49,0)</f>
        <v>0</v>
      </c>
      <c r="AI49" s="83" t="s">
        <v>62</v>
      </c>
      <c r="AJ49" s="64">
        <f>IF(AN49=0,L49,0)</f>
        <v>0</v>
      </c>
      <c r="AK49" s="64">
        <f>IF(AN49=15,L49,0)</f>
        <v>0</v>
      </c>
      <c r="AL49" s="64">
        <f>IF(AN49=21,L49,0)</f>
        <v>1560</v>
      </c>
      <c r="AN49" s="35">
        <v>21</v>
      </c>
      <c r="AO49" s="35">
        <f>I49*0</f>
        <v>0</v>
      </c>
      <c r="AP49" s="35">
        <f>I49*(1-0)</f>
        <v>78</v>
      </c>
      <c r="AQ49" s="84" t="s">
        <v>141</v>
      </c>
      <c r="AV49" s="35">
        <f>AW49+AX49</f>
        <v>1560</v>
      </c>
      <c r="AW49" s="35">
        <f>H49*AO49</f>
        <v>0</v>
      </c>
      <c r="AX49" s="35">
        <f>H49*AP49</f>
        <v>1560</v>
      </c>
      <c r="AY49" s="86" t="s">
        <v>1040</v>
      </c>
      <c r="AZ49" s="86" t="s">
        <v>1054</v>
      </c>
      <c r="BA49" s="83" t="s">
        <v>1076</v>
      </c>
      <c r="BC49" s="35">
        <f>AW49+AX49</f>
        <v>1560</v>
      </c>
      <c r="BD49" s="35">
        <f>I49/(100-BE49)*100</f>
        <v>78</v>
      </c>
      <c r="BE49" s="35">
        <v>0</v>
      </c>
      <c r="BF49" s="35">
        <f>49</f>
        <v>49</v>
      </c>
      <c r="BH49" s="64">
        <f>H49*AO49</f>
        <v>0</v>
      </c>
      <c r="BI49" s="64">
        <f>H49*AP49</f>
        <v>1560</v>
      </c>
      <c r="BJ49" s="64">
        <f>H49*I49</f>
        <v>1560</v>
      </c>
      <c r="BK49" s="64" t="s">
        <v>1086</v>
      </c>
      <c r="BL49" s="35">
        <v>97</v>
      </c>
    </row>
    <row r="50" spans="1:64" x14ac:dyDescent="0.2">
      <c r="A50" s="47" t="s">
        <v>159</v>
      </c>
      <c r="B50" s="55" t="s">
        <v>62</v>
      </c>
      <c r="C50" s="55" t="s">
        <v>537</v>
      </c>
      <c r="D50" s="178" t="s">
        <v>858</v>
      </c>
      <c r="E50" s="179"/>
      <c r="F50" s="179"/>
      <c r="G50" s="55" t="s">
        <v>998</v>
      </c>
      <c r="H50" s="64">
        <v>28</v>
      </c>
      <c r="I50" s="71">
        <v>373</v>
      </c>
      <c r="J50" s="64">
        <f>H50*AO50</f>
        <v>0</v>
      </c>
      <c r="K50" s="64">
        <f>H50*AP50</f>
        <v>10444</v>
      </c>
      <c r="L50" s="64">
        <f>H50*I50</f>
        <v>10444</v>
      </c>
      <c r="M50" s="79" t="s">
        <v>1019</v>
      </c>
      <c r="N50" s="19"/>
      <c r="Z50" s="35">
        <f>IF(AQ50="5",BJ50,0)</f>
        <v>0</v>
      </c>
      <c r="AB50" s="35">
        <f>IF(AQ50="1",BH50,0)</f>
        <v>0</v>
      </c>
      <c r="AC50" s="35">
        <f>IF(AQ50="1",BI50,0)</f>
        <v>10444</v>
      </c>
      <c r="AD50" s="35">
        <f>IF(AQ50="7",BH50,0)</f>
        <v>0</v>
      </c>
      <c r="AE50" s="35">
        <f>IF(AQ50="7",BI50,0)</f>
        <v>0</v>
      </c>
      <c r="AF50" s="35">
        <f>IF(AQ50="2",BH50,0)</f>
        <v>0</v>
      </c>
      <c r="AG50" s="35">
        <f>IF(AQ50="2",BI50,0)</f>
        <v>0</v>
      </c>
      <c r="AH50" s="35">
        <f>IF(AQ50="0",BJ50,0)</f>
        <v>0</v>
      </c>
      <c r="AI50" s="83" t="s">
        <v>62</v>
      </c>
      <c r="AJ50" s="64">
        <f>IF(AN50=0,L50,0)</f>
        <v>0</v>
      </c>
      <c r="AK50" s="64">
        <f>IF(AN50=15,L50,0)</f>
        <v>0</v>
      </c>
      <c r="AL50" s="64">
        <f>IF(AN50=21,L50,0)</f>
        <v>10444</v>
      </c>
      <c r="AN50" s="35">
        <v>21</v>
      </c>
      <c r="AO50" s="35">
        <f>I50*0</f>
        <v>0</v>
      </c>
      <c r="AP50" s="35">
        <f>I50*(1-0)</f>
        <v>373</v>
      </c>
      <c r="AQ50" s="84" t="s">
        <v>141</v>
      </c>
      <c r="AV50" s="35">
        <f>AW50+AX50</f>
        <v>10444</v>
      </c>
      <c r="AW50" s="35">
        <f>H50*AO50</f>
        <v>0</v>
      </c>
      <c r="AX50" s="35">
        <f>H50*AP50</f>
        <v>10444</v>
      </c>
      <c r="AY50" s="86" t="s">
        <v>1040</v>
      </c>
      <c r="AZ50" s="86" t="s">
        <v>1054</v>
      </c>
      <c r="BA50" s="83" t="s">
        <v>1076</v>
      </c>
      <c r="BC50" s="35">
        <f>AW50+AX50</f>
        <v>10444</v>
      </c>
      <c r="BD50" s="35">
        <f>I50/(100-BE50)*100</f>
        <v>373</v>
      </c>
      <c r="BE50" s="35">
        <v>0</v>
      </c>
      <c r="BF50" s="35">
        <f>50</f>
        <v>50</v>
      </c>
      <c r="BH50" s="64">
        <f>H50*AO50</f>
        <v>0</v>
      </c>
      <c r="BI50" s="64">
        <f>H50*AP50</f>
        <v>10444</v>
      </c>
      <c r="BJ50" s="64">
        <f>H50*I50</f>
        <v>10444</v>
      </c>
      <c r="BK50" s="64" t="s">
        <v>1086</v>
      </c>
      <c r="BL50" s="35">
        <v>97</v>
      </c>
    </row>
    <row r="51" spans="1:64" x14ac:dyDescent="0.2">
      <c r="A51" s="47" t="s">
        <v>160</v>
      </c>
      <c r="B51" s="55" t="s">
        <v>62</v>
      </c>
      <c r="C51" s="55" t="s">
        <v>538</v>
      </c>
      <c r="D51" s="178" t="s">
        <v>859</v>
      </c>
      <c r="E51" s="179"/>
      <c r="F51" s="179"/>
      <c r="G51" s="55" t="s">
        <v>997</v>
      </c>
      <c r="H51" s="64">
        <v>62.4</v>
      </c>
      <c r="I51" s="71">
        <v>174</v>
      </c>
      <c r="J51" s="64">
        <f>H51*AO51</f>
        <v>0</v>
      </c>
      <c r="K51" s="64">
        <f>H51*AP51</f>
        <v>10857.6</v>
      </c>
      <c r="L51" s="64">
        <f>H51*I51</f>
        <v>10857.6</v>
      </c>
      <c r="M51" s="79" t="s">
        <v>1019</v>
      </c>
      <c r="N51" s="19"/>
      <c r="Z51" s="35">
        <f>IF(AQ51="5",BJ51,0)</f>
        <v>0</v>
      </c>
      <c r="AB51" s="35">
        <f>IF(AQ51="1",BH51,0)</f>
        <v>0</v>
      </c>
      <c r="AC51" s="35">
        <f>IF(AQ51="1",BI51,0)</f>
        <v>10857.6</v>
      </c>
      <c r="AD51" s="35">
        <f>IF(AQ51="7",BH51,0)</f>
        <v>0</v>
      </c>
      <c r="AE51" s="35">
        <f>IF(AQ51="7",BI51,0)</f>
        <v>0</v>
      </c>
      <c r="AF51" s="35">
        <f>IF(AQ51="2",BH51,0)</f>
        <v>0</v>
      </c>
      <c r="AG51" s="35">
        <f>IF(AQ51="2",BI51,0)</f>
        <v>0</v>
      </c>
      <c r="AH51" s="35">
        <f>IF(AQ51="0",BJ51,0)</f>
        <v>0</v>
      </c>
      <c r="AI51" s="83" t="s">
        <v>62</v>
      </c>
      <c r="AJ51" s="64">
        <f>IF(AN51=0,L51,0)</f>
        <v>0</v>
      </c>
      <c r="AK51" s="64">
        <f>IF(AN51=15,L51,0)</f>
        <v>0</v>
      </c>
      <c r="AL51" s="64">
        <f>IF(AN51=21,L51,0)</f>
        <v>10857.6</v>
      </c>
      <c r="AN51" s="35">
        <v>21</v>
      </c>
      <c r="AO51" s="35">
        <f>I51*0</f>
        <v>0</v>
      </c>
      <c r="AP51" s="35">
        <f>I51*(1-0)</f>
        <v>174</v>
      </c>
      <c r="AQ51" s="84" t="s">
        <v>141</v>
      </c>
      <c r="AV51" s="35">
        <f>AW51+AX51</f>
        <v>10857.6</v>
      </c>
      <c r="AW51" s="35">
        <f>H51*AO51</f>
        <v>0</v>
      </c>
      <c r="AX51" s="35">
        <f>H51*AP51</f>
        <v>10857.6</v>
      </c>
      <c r="AY51" s="86" t="s">
        <v>1040</v>
      </c>
      <c r="AZ51" s="86" t="s">
        <v>1054</v>
      </c>
      <c r="BA51" s="83" t="s">
        <v>1076</v>
      </c>
      <c r="BC51" s="35">
        <f>AW51+AX51</f>
        <v>10857.6</v>
      </c>
      <c r="BD51" s="35">
        <f>I51/(100-BE51)*100</f>
        <v>174</v>
      </c>
      <c r="BE51" s="35">
        <v>0</v>
      </c>
      <c r="BF51" s="35">
        <f>51</f>
        <v>51</v>
      </c>
      <c r="BH51" s="64">
        <f>H51*AO51</f>
        <v>0</v>
      </c>
      <c r="BI51" s="64">
        <f>H51*AP51</f>
        <v>10857.6</v>
      </c>
      <c r="BJ51" s="64">
        <f>H51*I51</f>
        <v>10857.6</v>
      </c>
      <c r="BK51" s="64" t="s">
        <v>1086</v>
      </c>
      <c r="BL51" s="35">
        <v>97</v>
      </c>
    </row>
    <row r="52" spans="1:64" x14ac:dyDescent="0.2">
      <c r="A52" s="47" t="s">
        <v>161</v>
      </c>
      <c r="B52" s="55" t="s">
        <v>62</v>
      </c>
      <c r="C52" s="55" t="s">
        <v>539</v>
      </c>
      <c r="D52" s="178" t="s">
        <v>860</v>
      </c>
      <c r="E52" s="179"/>
      <c r="F52" s="179"/>
      <c r="G52" s="55" t="s">
        <v>994</v>
      </c>
      <c r="H52" s="64">
        <v>6.48</v>
      </c>
      <c r="I52" s="71">
        <v>63</v>
      </c>
      <c r="J52" s="64">
        <f>H52*AO52</f>
        <v>0</v>
      </c>
      <c r="K52" s="64">
        <f>H52*AP52</f>
        <v>408.24</v>
      </c>
      <c r="L52" s="64">
        <f>H52*I52</f>
        <v>408.24</v>
      </c>
      <c r="M52" s="79" t="s">
        <v>1019</v>
      </c>
      <c r="N52" s="19"/>
      <c r="Z52" s="35">
        <f>IF(AQ52="5",BJ52,0)</f>
        <v>0</v>
      </c>
      <c r="AB52" s="35">
        <f>IF(AQ52="1",BH52,0)</f>
        <v>0</v>
      </c>
      <c r="AC52" s="35">
        <f>IF(AQ52="1",BI52,0)</f>
        <v>408.24</v>
      </c>
      <c r="AD52" s="35">
        <f>IF(AQ52="7",BH52,0)</f>
        <v>0</v>
      </c>
      <c r="AE52" s="35">
        <f>IF(AQ52="7",BI52,0)</f>
        <v>0</v>
      </c>
      <c r="AF52" s="35">
        <f>IF(AQ52="2",BH52,0)</f>
        <v>0</v>
      </c>
      <c r="AG52" s="35">
        <f>IF(AQ52="2",BI52,0)</f>
        <v>0</v>
      </c>
      <c r="AH52" s="35">
        <f>IF(AQ52="0",BJ52,0)</f>
        <v>0</v>
      </c>
      <c r="AI52" s="83" t="s">
        <v>62</v>
      </c>
      <c r="AJ52" s="64">
        <f>IF(AN52=0,L52,0)</f>
        <v>0</v>
      </c>
      <c r="AK52" s="64">
        <f>IF(AN52=15,L52,0)</f>
        <v>0</v>
      </c>
      <c r="AL52" s="64">
        <f>IF(AN52=21,L52,0)</f>
        <v>408.24</v>
      </c>
      <c r="AN52" s="35">
        <v>21</v>
      </c>
      <c r="AO52" s="35">
        <f>I52*0</f>
        <v>0</v>
      </c>
      <c r="AP52" s="35">
        <f>I52*(1-0)</f>
        <v>63</v>
      </c>
      <c r="AQ52" s="84" t="s">
        <v>141</v>
      </c>
      <c r="AV52" s="35">
        <f>AW52+AX52</f>
        <v>408.24</v>
      </c>
      <c r="AW52" s="35">
        <f>H52*AO52</f>
        <v>0</v>
      </c>
      <c r="AX52" s="35">
        <f>H52*AP52</f>
        <v>408.24</v>
      </c>
      <c r="AY52" s="86" t="s">
        <v>1040</v>
      </c>
      <c r="AZ52" s="86" t="s">
        <v>1054</v>
      </c>
      <c r="BA52" s="83" t="s">
        <v>1076</v>
      </c>
      <c r="BC52" s="35">
        <f>AW52+AX52</f>
        <v>408.24</v>
      </c>
      <c r="BD52" s="35">
        <f>I52/(100-BE52)*100</f>
        <v>63</v>
      </c>
      <c r="BE52" s="35">
        <v>0</v>
      </c>
      <c r="BF52" s="35">
        <f>52</f>
        <v>52</v>
      </c>
      <c r="BH52" s="64">
        <f>H52*AO52</f>
        <v>0</v>
      </c>
      <c r="BI52" s="64">
        <f>H52*AP52</f>
        <v>408.24</v>
      </c>
      <c r="BJ52" s="64">
        <f>H52*I52</f>
        <v>408.24</v>
      </c>
      <c r="BK52" s="64" t="s">
        <v>1086</v>
      </c>
      <c r="BL52" s="35">
        <v>97</v>
      </c>
    </row>
    <row r="53" spans="1:64" x14ac:dyDescent="0.2">
      <c r="A53" s="47" t="s">
        <v>162</v>
      </c>
      <c r="B53" s="55" t="s">
        <v>62</v>
      </c>
      <c r="C53" s="55" t="s">
        <v>540</v>
      </c>
      <c r="D53" s="178" t="s">
        <v>861</v>
      </c>
      <c r="E53" s="179"/>
      <c r="F53" s="179"/>
      <c r="G53" s="55" t="s">
        <v>994</v>
      </c>
      <c r="H53" s="64">
        <v>1.2</v>
      </c>
      <c r="I53" s="71">
        <v>56</v>
      </c>
      <c r="J53" s="64">
        <f>H53*AO53</f>
        <v>0</v>
      </c>
      <c r="K53" s="64">
        <f>H53*AP53</f>
        <v>67.2</v>
      </c>
      <c r="L53" s="64">
        <f>H53*I53</f>
        <v>67.2</v>
      </c>
      <c r="M53" s="79" t="s">
        <v>1019</v>
      </c>
      <c r="N53" s="19"/>
      <c r="Z53" s="35">
        <f>IF(AQ53="5",BJ53,0)</f>
        <v>0</v>
      </c>
      <c r="AB53" s="35">
        <f>IF(AQ53="1",BH53,0)</f>
        <v>0</v>
      </c>
      <c r="AC53" s="35">
        <f>IF(AQ53="1",BI53,0)</f>
        <v>67.2</v>
      </c>
      <c r="AD53" s="35">
        <f>IF(AQ53="7",BH53,0)</f>
        <v>0</v>
      </c>
      <c r="AE53" s="35">
        <f>IF(AQ53="7",BI53,0)</f>
        <v>0</v>
      </c>
      <c r="AF53" s="35">
        <f>IF(AQ53="2",BH53,0)</f>
        <v>0</v>
      </c>
      <c r="AG53" s="35">
        <f>IF(AQ53="2",BI53,0)</f>
        <v>0</v>
      </c>
      <c r="AH53" s="35">
        <f>IF(AQ53="0",BJ53,0)</f>
        <v>0</v>
      </c>
      <c r="AI53" s="83" t="s">
        <v>62</v>
      </c>
      <c r="AJ53" s="64">
        <f>IF(AN53=0,L53,0)</f>
        <v>0</v>
      </c>
      <c r="AK53" s="64">
        <f>IF(AN53=15,L53,0)</f>
        <v>0</v>
      </c>
      <c r="AL53" s="64">
        <f>IF(AN53=21,L53,0)</f>
        <v>67.2</v>
      </c>
      <c r="AN53" s="35">
        <v>21</v>
      </c>
      <c r="AO53" s="35">
        <f>I53*0</f>
        <v>0</v>
      </c>
      <c r="AP53" s="35">
        <f>I53*(1-0)</f>
        <v>56</v>
      </c>
      <c r="AQ53" s="84" t="s">
        <v>141</v>
      </c>
      <c r="AV53" s="35">
        <f>AW53+AX53</f>
        <v>67.2</v>
      </c>
      <c r="AW53" s="35">
        <f>H53*AO53</f>
        <v>0</v>
      </c>
      <c r="AX53" s="35">
        <f>H53*AP53</f>
        <v>67.2</v>
      </c>
      <c r="AY53" s="86" t="s">
        <v>1040</v>
      </c>
      <c r="AZ53" s="86" t="s">
        <v>1054</v>
      </c>
      <c r="BA53" s="83" t="s">
        <v>1076</v>
      </c>
      <c r="BC53" s="35">
        <f>AW53+AX53</f>
        <v>67.2</v>
      </c>
      <c r="BD53" s="35">
        <f>I53/(100-BE53)*100</f>
        <v>56.000000000000007</v>
      </c>
      <c r="BE53" s="35">
        <v>0</v>
      </c>
      <c r="BF53" s="35">
        <f>53</f>
        <v>53</v>
      </c>
      <c r="BH53" s="64">
        <f>H53*AO53</f>
        <v>0</v>
      </c>
      <c r="BI53" s="64">
        <f>H53*AP53</f>
        <v>67.2</v>
      </c>
      <c r="BJ53" s="64">
        <f>H53*I53</f>
        <v>67.2</v>
      </c>
      <c r="BK53" s="64" t="s">
        <v>1086</v>
      </c>
      <c r="BL53" s="35">
        <v>97</v>
      </c>
    </row>
    <row r="54" spans="1:64" x14ac:dyDescent="0.2">
      <c r="A54" s="46"/>
      <c r="B54" s="54" t="s">
        <v>62</v>
      </c>
      <c r="C54" s="54" t="s">
        <v>112</v>
      </c>
      <c r="D54" s="176" t="s">
        <v>131</v>
      </c>
      <c r="E54" s="177"/>
      <c r="F54" s="177"/>
      <c r="G54" s="61" t="s">
        <v>60</v>
      </c>
      <c r="H54" s="61" t="s">
        <v>60</v>
      </c>
      <c r="I54" s="70" t="s">
        <v>60</v>
      </c>
      <c r="J54" s="89">
        <f>SUM(J55:J55)</f>
        <v>0</v>
      </c>
      <c r="K54" s="89">
        <f>SUM(K55:K55)</f>
        <v>4165.6409999999996</v>
      </c>
      <c r="L54" s="89">
        <f>SUM(L55:L55)</f>
        <v>4165.6409999999996</v>
      </c>
      <c r="M54" s="78"/>
      <c r="N54" s="19"/>
      <c r="AI54" s="83" t="s">
        <v>62</v>
      </c>
      <c r="AS54" s="89">
        <f>SUM(AJ55:AJ55)</f>
        <v>0</v>
      </c>
      <c r="AT54" s="89">
        <f>SUM(AK55:AK55)</f>
        <v>0</v>
      </c>
      <c r="AU54" s="89">
        <f>SUM(AL55:AL55)</f>
        <v>4165.6409999999996</v>
      </c>
    </row>
    <row r="55" spans="1:64" x14ac:dyDescent="0.2">
      <c r="A55" s="47" t="s">
        <v>163</v>
      </c>
      <c r="B55" s="55" t="s">
        <v>62</v>
      </c>
      <c r="C55" s="55" t="s">
        <v>541</v>
      </c>
      <c r="D55" s="178" t="s">
        <v>862</v>
      </c>
      <c r="E55" s="179"/>
      <c r="F55" s="179"/>
      <c r="G55" s="55" t="s">
        <v>995</v>
      </c>
      <c r="H55" s="64">
        <v>15.4283</v>
      </c>
      <c r="I55" s="71">
        <v>270</v>
      </c>
      <c r="J55" s="64">
        <f>H55*AO55</f>
        <v>0</v>
      </c>
      <c r="K55" s="64">
        <f>H55*AP55</f>
        <v>4165.6409999999996</v>
      </c>
      <c r="L55" s="64">
        <f>H55*I55</f>
        <v>4165.6409999999996</v>
      </c>
      <c r="M55" s="79" t="s">
        <v>1019</v>
      </c>
      <c r="N55" s="19"/>
      <c r="Z55" s="35">
        <f>IF(AQ55="5",BJ55,0)</f>
        <v>4165.6409999999996</v>
      </c>
      <c r="AB55" s="35">
        <f>IF(AQ55="1",BH55,0)</f>
        <v>0</v>
      </c>
      <c r="AC55" s="35">
        <f>IF(AQ55="1",BI55,0)</f>
        <v>0</v>
      </c>
      <c r="AD55" s="35">
        <f>IF(AQ55="7",BH55,0)</f>
        <v>0</v>
      </c>
      <c r="AE55" s="35">
        <f>IF(AQ55="7",BI55,0)</f>
        <v>0</v>
      </c>
      <c r="AF55" s="35">
        <f>IF(AQ55="2",BH55,0)</f>
        <v>0</v>
      </c>
      <c r="AG55" s="35">
        <f>IF(AQ55="2",BI55,0)</f>
        <v>0</v>
      </c>
      <c r="AH55" s="35">
        <f>IF(AQ55="0",BJ55,0)</f>
        <v>0</v>
      </c>
      <c r="AI55" s="83" t="s">
        <v>62</v>
      </c>
      <c r="AJ55" s="64">
        <f>IF(AN55=0,L55,0)</f>
        <v>0</v>
      </c>
      <c r="AK55" s="64">
        <f>IF(AN55=15,L55,0)</f>
        <v>0</v>
      </c>
      <c r="AL55" s="64">
        <f>IF(AN55=21,L55,0)</f>
        <v>4165.6409999999996</v>
      </c>
      <c r="AN55" s="35">
        <v>21</v>
      </c>
      <c r="AO55" s="35">
        <f>I55*0</f>
        <v>0</v>
      </c>
      <c r="AP55" s="35">
        <f>I55*(1-0)</f>
        <v>270</v>
      </c>
      <c r="AQ55" s="84" t="s">
        <v>143</v>
      </c>
      <c r="AV55" s="35">
        <f>AW55+AX55</f>
        <v>4165.6409999999996</v>
      </c>
      <c r="AW55" s="35">
        <f>H55*AO55</f>
        <v>0</v>
      </c>
      <c r="AX55" s="35">
        <f>H55*AP55</f>
        <v>4165.6409999999996</v>
      </c>
      <c r="AY55" s="86" t="s">
        <v>1041</v>
      </c>
      <c r="AZ55" s="86" t="s">
        <v>1054</v>
      </c>
      <c r="BA55" s="83" t="s">
        <v>1076</v>
      </c>
      <c r="BC55" s="35">
        <f>AW55+AX55</f>
        <v>4165.6409999999996</v>
      </c>
      <c r="BD55" s="35">
        <f>I55/(100-BE55)*100</f>
        <v>270</v>
      </c>
      <c r="BE55" s="35">
        <v>0</v>
      </c>
      <c r="BF55" s="35">
        <f>55</f>
        <v>55</v>
      </c>
      <c r="BH55" s="64">
        <f>H55*AO55</f>
        <v>0</v>
      </c>
      <c r="BI55" s="64">
        <f>H55*AP55</f>
        <v>4165.6409999999996</v>
      </c>
      <c r="BJ55" s="64">
        <f>H55*I55</f>
        <v>4165.6409999999996</v>
      </c>
      <c r="BK55" s="64" t="s">
        <v>1086</v>
      </c>
      <c r="BL55" s="35" t="s">
        <v>112</v>
      </c>
    </row>
    <row r="56" spans="1:64" x14ac:dyDescent="0.2">
      <c r="A56" s="46"/>
      <c r="B56" s="54" t="s">
        <v>62</v>
      </c>
      <c r="C56" s="54" t="s">
        <v>113</v>
      </c>
      <c r="D56" s="176" t="s">
        <v>132</v>
      </c>
      <c r="E56" s="177"/>
      <c r="F56" s="177"/>
      <c r="G56" s="61" t="s">
        <v>60</v>
      </c>
      <c r="H56" s="61" t="s">
        <v>60</v>
      </c>
      <c r="I56" s="70" t="s">
        <v>60</v>
      </c>
      <c r="J56" s="89">
        <f>SUM(J57:J62)</f>
        <v>0</v>
      </c>
      <c r="K56" s="89">
        <f>SUM(K57:K62)</f>
        <v>5291.6691600000004</v>
      </c>
      <c r="L56" s="89">
        <f>SUM(L57:L62)</f>
        <v>5291.6691600000004</v>
      </c>
      <c r="M56" s="78"/>
      <c r="N56" s="19"/>
      <c r="AI56" s="83" t="s">
        <v>62</v>
      </c>
      <c r="AS56" s="89">
        <f>SUM(AJ57:AJ62)</f>
        <v>0</v>
      </c>
      <c r="AT56" s="89">
        <f>SUM(AK57:AK62)</f>
        <v>0</v>
      </c>
      <c r="AU56" s="89">
        <f>SUM(AL57:AL62)</f>
        <v>5291.6691600000004</v>
      </c>
    </row>
    <row r="57" spans="1:64" x14ac:dyDescent="0.2">
      <c r="A57" s="47" t="s">
        <v>164</v>
      </c>
      <c r="B57" s="55" t="s">
        <v>62</v>
      </c>
      <c r="C57" s="55" t="s">
        <v>542</v>
      </c>
      <c r="D57" s="178" t="s">
        <v>863</v>
      </c>
      <c r="E57" s="179"/>
      <c r="F57" s="179"/>
      <c r="G57" s="55" t="s">
        <v>995</v>
      </c>
      <c r="H57" s="64">
        <v>6.0429199999999996</v>
      </c>
      <c r="I57" s="71">
        <v>163</v>
      </c>
      <c r="J57" s="64">
        <f t="shared" ref="J57:J62" si="0">H57*AO57</f>
        <v>0</v>
      </c>
      <c r="K57" s="64">
        <f t="shared" ref="K57:K62" si="1">H57*AP57</f>
        <v>984.99595999999997</v>
      </c>
      <c r="L57" s="64">
        <f t="shared" ref="L57:L62" si="2">H57*I57</f>
        <v>984.99595999999997</v>
      </c>
      <c r="M57" s="79" t="s">
        <v>1019</v>
      </c>
      <c r="N57" s="19"/>
      <c r="Z57" s="35">
        <f t="shared" ref="Z57:Z62" si="3">IF(AQ57="5",BJ57,0)</f>
        <v>984.99595999999997</v>
      </c>
      <c r="AB57" s="35">
        <f t="shared" ref="AB57:AB62" si="4">IF(AQ57="1",BH57,0)</f>
        <v>0</v>
      </c>
      <c r="AC57" s="35">
        <f t="shared" ref="AC57:AC62" si="5">IF(AQ57="1",BI57,0)</f>
        <v>0</v>
      </c>
      <c r="AD57" s="35">
        <f t="shared" ref="AD57:AD62" si="6">IF(AQ57="7",BH57,0)</f>
        <v>0</v>
      </c>
      <c r="AE57" s="35">
        <f t="shared" ref="AE57:AE62" si="7">IF(AQ57="7",BI57,0)</f>
        <v>0</v>
      </c>
      <c r="AF57" s="35">
        <f t="shared" ref="AF57:AF62" si="8">IF(AQ57="2",BH57,0)</f>
        <v>0</v>
      </c>
      <c r="AG57" s="35">
        <f t="shared" ref="AG57:AG62" si="9">IF(AQ57="2",BI57,0)</f>
        <v>0</v>
      </c>
      <c r="AH57" s="35">
        <f t="shared" ref="AH57:AH62" si="10">IF(AQ57="0",BJ57,0)</f>
        <v>0</v>
      </c>
      <c r="AI57" s="83" t="s">
        <v>62</v>
      </c>
      <c r="AJ57" s="64">
        <f t="shared" ref="AJ57:AJ62" si="11">IF(AN57=0,L57,0)</f>
        <v>0</v>
      </c>
      <c r="AK57" s="64">
        <f t="shared" ref="AK57:AK62" si="12">IF(AN57=15,L57,0)</f>
        <v>0</v>
      </c>
      <c r="AL57" s="64">
        <f t="shared" ref="AL57:AL62" si="13">IF(AN57=21,L57,0)</f>
        <v>984.99595999999997</v>
      </c>
      <c r="AN57" s="35">
        <v>21</v>
      </c>
      <c r="AO57" s="35">
        <f t="shared" ref="AO57:AO62" si="14">I57*0</f>
        <v>0</v>
      </c>
      <c r="AP57" s="35">
        <f t="shared" ref="AP57:AP62" si="15">I57*(1-0)</f>
        <v>163</v>
      </c>
      <c r="AQ57" s="84" t="s">
        <v>143</v>
      </c>
      <c r="AV57" s="35">
        <f t="shared" ref="AV57:AV62" si="16">AW57+AX57</f>
        <v>984.99595999999997</v>
      </c>
      <c r="AW57" s="35">
        <f t="shared" ref="AW57:AW62" si="17">H57*AO57</f>
        <v>0</v>
      </c>
      <c r="AX57" s="35">
        <f t="shared" ref="AX57:AX62" si="18">H57*AP57</f>
        <v>984.99595999999997</v>
      </c>
      <c r="AY57" s="86" t="s">
        <v>1042</v>
      </c>
      <c r="AZ57" s="86" t="s">
        <v>1054</v>
      </c>
      <c r="BA57" s="83" t="s">
        <v>1076</v>
      </c>
      <c r="BC57" s="35">
        <f t="shared" ref="BC57:BC62" si="19">AW57+AX57</f>
        <v>984.99595999999997</v>
      </c>
      <c r="BD57" s="35">
        <f t="shared" ref="BD57:BD62" si="20">I57/(100-BE57)*100</f>
        <v>163</v>
      </c>
      <c r="BE57" s="35">
        <v>0</v>
      </c>
      <c r="BF57" s="35">
        <f>57</f>
        <v>57</v>
      </c>
      <c r="BH57" s="64">
        <f t="shared" ref="BH57:BH62" si="21">H57*AO57</f>
        <v>0</v>
      </c>
      <c r="BI57" s="64">
        <f t="shared" ref="BI57:BI62" si="22">H57*AP57</f>
        <v>984.99595999999997</v>
      </c>
      <c r="BJ57" s="64">
        <f t="shared" ref="BJ57:BJ62" si="23">H57*I57</f>
        <v>984.99595999999997</v>
      </c>
      <c r="BK57" s="64" t="s">
        <v>1086</v>
      </c>
      <c r="BL57" s="35" t="s">
        <v>113</v>
      </c>
    </row>
    <row r="58" spans="1:64" x14ac:dyDescent="0.2">
      <c r="A58" s="47" t="s">
        <v>165</v>
      </c>
      <c r="B58" s="55" t="s">
        <v>62</v>
      </c>
      <c r="C58" s="55" t="s">
        <v>543</v>
      </c>
      <c r="D58" s="178" t="s">
        <v>864</v>
      </c>
      <c r="E58" s="179"/>
      <c r="F58" s="179"/>
      <c r="G58" s="55" t="s">
        <v>995</v>
      </c>
      <c r="H58" s="64">
        <v>90.643799999999999</v>
      </c>
      <c r="I58" s="71">
        <v>11</v>
      </c>
      <c r="J58" s="64">
        <f t="shared" si="0"/>
        <v>0</v>
      </c>
      <c r="K58" s="64">
        <f t="shared" si="1"/>
        <v>997.08179999999993</v>
      </c>
      <c r="L58" s="64">
        <f t="shared" si="2"/>
        <v>997.08179999999993</v>
      </c>
      <c r="M58" s="79" t="s">
        <v>1019</v>
      </c>
      <c r="N58" s="19"/>
      <c r="Z58" s="35">
        <f t="shared" si="3"/>
        <v>997.08179999999993</v>
      </c>
      <c r="AB58" s="35">
        <f t="shared" si="4"/>
        <v>0</v>
      </c>
      <c r="AC58" s="35">
        <f t="shared" si="5"/>
        <v>0</v>
      </c>
      <c r="AD58" s="35">
        <f t="shared" si="6"/>
        <v>0</v>
      </c>
      <c r="AE58" s="35">
        <f t="shared" si="7"/>
        <v>0</v>
      </c>
      <c r="AF58" s="35">
        <f t="shared" si="8"/>
        <v>0</v>
      </c>
      <c r="AG58" s="35">
        <f t="shared" si="9"/>
        <v>0</v>
      </c>
      <c r="AH58" s="35">
        <f t="shared" si="10"/>
        <v>0</v>
      </c>
      <c r="AI58" s="83" t="s">
        <v>62</v>
      </c>
      <c r="AJ58" s="64">
        <f t="shared" si="11"/>
        <v>0</v>
      </c>
      <c r="AK58" s="64">
        <f t="shared" si="12"/>
        <v>0</v>
      </c>
      <c r="AL58" s="64">
        <f t="shared" si="13"/>
        <v>997.08179999999993</v>
      </c>
      <c r="AN58" s="35">
        <v>21</v>
      </c>
      <c r="AO58" s="35">
        <f t="shared" si="14"/>
        <v>0</v>
      </c>
      <c r="AP58" s="35">
        <f t="shared" si="15"/>
        <v>11</v>
      </c>
      <c r="AQ58" s="84" t="s">
        <v>143</v>
      </c>
      <c r="AV58" s="35">
        <f t="shared" si="16"/>
        <v>997.08179999999993</v>
      </c>
      <c r="AW58" s="35">
        <f t="shared" si="17"/>
        <v>0</v>
      </c>
      <c r="AX58" s="35">
        <f t="shared" si="18"/>
        <v>997.08179999999993</v>
      </c>
      <c r="AY58" s="86" t="s">
        <v>1042</v>
      </c>
      <c r="AZ58" s="86" t="s">
        <v>1054</v>
      </c>
      <c r="BA58" s="83" t="s">
        <v>1076</v>
      </c>
      <c r="BC58" s="35">
        <f t="shared" si="19"/>
        <v>997.08179999999993</v>
      </c>
      <c r="BD58" s="35">
        <f t="shared" si="20"/>
        <v>11</v>
      </c>
      <c r="BE58" s="35">
        <v>0</v>
      </c>
      <c r="BF58" s="35">
        <f>58</f>
        <v>58</v>
      </c>
      <c r="BH58" s="64">
        <f t="shared" si="21"/>
        <v>0</v>
      </c>
      <c r="BI58" s="64">
        <f t="shared" si="22"/>
        <v>997.08179999999993</v>
      </c>
      <c r="BJ58" s="64">
        <f t="shared" si="23"/>
        <v>997.08179999999993</v>
      </c>
      <c r="BK58" s="64" t="s">
        <v>1086</v>
      </c>
      <c r="BL58" s="35" t="s">
        <v>113</v>
      </c>
    </row>
    <row r="59" spans="1:64" x14ac:dyDescent="0.2">
      <c r="A59" s="47" t="s">
        <v>166</v>
      </c>
      <c r="B59" s="55" t="s">
        <v>62</v>
      </c>
      <c r="C59" s="55" t="s">
        <v>544</v>
      </c>
      <c r="D59" s="178" t="s">
        <v>865</v>
      </c>
      <c r="E59" s="179"/>
      <c r="F59" s="179"/>
      <c r="G59" s="55" t="s">
        <v>995</v>
      </c>
      <c r="H59" s="64">
        <v>6.0429199999999996</v>
      </c>
      <c r="I59" s="71">
        <v>229</v>
      </c>
      <c r="J59" s="64">
        <f t="shared" si="0"/>
        <v>0</v>
      </c>
      <c r="K59" s="64">
        <f t="shared" si="1"/>
        <v>1383.8286799999998</v>
      </c>
      <c r="L59" s="64">
        <f t="shared" si="2"/>
        <v>1383.8286799999998</v>
      </c>
      <c r="M59" s="79" t="s">
        <v>1019</v>
      </c>
      <c r="N59" s="19"/>
      <c r="Z59" s="35">
        <f t="shared" si="3"/>
        <v>1383.8286799999998</v>
      </c>
      <c r="AB59" s="35">
        <f t="shared" si="4"/>
        <v>0</v>
      </c>
      <c r="AC59" s="35">
        <f t="shared" si="5"/>
        <v>0</v>
      </c>
      <c r="AD59" s="35">
        <f t="shared" si="6"/>
        <v>0</v>
      </c>
      <c r="AE59" s="35">
        <f t="shared" si="7"/>
        <v>0</v>
      </c>
      <c r="AF59" s="35">
        <f t="shared" si="8"/>
        <v>0</v>
      </c>
      <c r="AG59" s="35">
        <f t="shared" si="9"/>
        <v>0</v>
      </c>
      <c r="AH59" s="35">
        <f t="shared" si="10"/>
        <v>0</v>
      </c>
      <c r="AI59" s="83" t="s">
        <v>62</v>
      </c>
      <c r="AJ59" s="64">
        <f t="shared" si="11"/>
        <v>0</v>
      </c>
      <c r="AK59" s="64">
        <f t="shared" si="12"/>
        <v>0</v>
      </c>
      <c r="AL59" s="64">
        <f t="shared" si="13"/>
        <v>1383.8286799999998</v>
      </c>
      <c r="AN59" s="35">
        <v>21</v>
      </c>
      <c r="AO59" s="35">
        <f t="shared" si="14"/>
        <v>0</v>
      </c>
      <c r="AP59" s="35">
        <f t="shared" si="15"/>
        <v>229</v>
      </c>
      <c r="AQ59" s="84" t="s">
        <v>143</v>
      </c>
      <c r="AV59" s="35">
        <f t="shared" si="16"/>
        <v>1383.8286799999998</v>
      </c>
      <c r="AW59" s="35">
        <f t="shared" si="17"/>
        <v>0</v>
      </c>
      <c r="AX59" s="35">
        <f t="shared" si="18"/>
        <v>1383.8286799999998</v>
      </c>
      <c r="AY59" s="86" t="s">
        <v>1042</v>
      </c>
      <c r="AZ59" s="86" t="s">
        <v>1054</v>
      </c>
      <c r="BA59" s="83" t="s">
        <v>1076</v>
      </c>
      <c r="BC59" s="35">
        <f t="shared" si="19"/>
        <v>1383.8286799999998</v>
      </c>
      <c r="BD59" s="35">
        <f t="shared" si="20"/>
        <v>229</v>
      </c>
      <c r="BE59" s="35">
        <v>0</v>
      </c>
      <c r="BF59" s="35">
        <f>59</f>
        <v>59</v>
      </c>
      <c r="BH59" s="64">
        <f t="shared" si="21"/>
        <v>0</v>
      </c>
      <c r="BI59" s="64">
        <f t="shared" si="22"/>
        <v>1383.8286799999998</v>
      </c>
      <c r="BJ59" s="64">
        <f t="shared" si="23"/>
        <v>1383.8286799999998</v>
      </c>
      <c r="BK59" s="64" t="s">
        <v>1086</v>
      </c>
      <c r="BL59" s="35" t="s">
        <v>113</v>
      </c>
    </row>
    <row r="60" spans="1:64" x14ac:dyDescent="0.2">
      <c r="A60" s="47" t="s">
        <v>103</v>
      </c>
      <c r="B60" s="55" t="s">
        <v>62</v>
      </c>
      <c r="C60" s="55" t="s">
        <v>545</v>
      </c>
      <c r="D60" s="178" t="s">
        <v>866</v>
      </c>
      <c r="E60" s="179"/>
      <c r="F60" s="179"/>
      <c r="G60" s="55" t="s">
        <v>995</v>
      </c>
      <c r="H60" s="64">
        <v>24.171679999999999</v>
      </c>
      <c r="I60" s="71">
        <v>25</v>
      </c>
      <c r="J60" s="64">
        <f t="shared" si="0"/>
        <v>0</v>
      </c>
      <c r="K60" s="64">
        <f t="shared" si="1"/>
        <v>604.29199999999992</v>
      </c>
      <c r="L60" s="64">
        <f t="shared" si="2"/>
        <v>604.29199999999992</v>
      </c>
      <c r="M60" s="79" t="s">
        <v>1019</v>
      </c>
      <c r="N60" s="19"/>
      <c r="Z60" s="35">
        <f t="shared" si="3"/>
        <v>604.29199999999992</v>
      </c>
      <c r="AB60" s="35">
        <f t="shared" si="4"/>
        <v>0</v>
      </c>
      <c r="AC60" s="35">
        <f t="shared" si="5"/>
        <v>0</v>
      </c>
      <c r="AD60" s="35">
        <f t="shared" si="6"/>
        <v>0</v>
      </c>
      <c r="AE60" s="35">
        <f t="shared" si="7"/>
        <v>0</v>
      </c>
      <c r="AF60" s="35">
        <f t="shared" si="8"/>
        <v>0</v>
      </c>
      <c r="AG60" s="35">
        <f t="shared" si="9"/>
        <v>0</v>
      </c>
      <c r="AH60" s="35">
        <f t="shared" si="10"/>
        <v>0</v>
      </c>
      <c r="AI60" s="83" t="s">
        <v>62</v>
      </c>
      <c r="AJ60" s="64">
        <f t="shared" si="11"/>
        <v>0</v>
      </c>
      <c r="AK60" s="64">
        <f t="shared" si="12"/>
        <v>0</v>
      </c>
      <c r="AL60" s="64">
        <f t="shared" si="13"/>
        <v>604.29199999999992</v>
      </c>
      <c r="AN60" s="35">
        <v>21</v>
      </c>
      <c r="AO60" s="35">
        <f t="shared" si="14"/>
        <v>0</v>
      </c>
      <c r="AP60" s="35">
        <f t="shared" si="15"/>
        <v>25</v>
      </c>
      <c r="AQ60" s="84" t="s">
        <v>143</v>
      </c>
      <c r="AV60" s="35">
        <f t="shared" si="16"/>
        <v>604.29199999999992</v>
      </c>
      <c r="AW60" s="35">
        <f t="shared" si="17"/>
        <v>0</v>
      </c>
      <c r="AX60" s="35">
        <f t="shared" si="18"/>
        <v>604.29199999999992</v>
      </c>
      <c r="AY60" s="86" t="s">
        <v>1042</v>
      </c>
      <c r="AZ60" s="86" t="s">
        <v>1054</v>
      </c>
      <c r="BA60" s="83" t="s">
        <v>1076</v>
      </c>
      <c r="BC60" s="35">
        <f t="shared" si="19"/>
        <v>604.29199999999992</v>
      </c>
      <c r="BD60" s="35">
        <f t="shared" si="20"/>
        <v>25</v>
      </c>
      <c r="BE60" s="35">
        <v>0</v>
      </c>
      <c r="BF60" s="35">
        <f>60</f>
        <v>60</v>
      </c>
      <c r="BH60" s="64">
        <f t="shared" si="21"/>
        <v>0</v>
      </c>
      <c r="BI60" s="64">
        <f t="shared" si="22"/>
        <v>604.29199999999992</v>
      </c>
      <c r="BJ60" s="64">
        <f t="shared" si="23"/>
        <v>604.29199999999992</v>
      </c>
      <c r="BK60" s="64" t="s">
        <v>1086</v>
      </c>
      <c r="BL60" s="35" t="s">
        <v>113</v>
      </c>
    </row>
    <row r="61" spans="1:64" x14ac:dyDescent="0.2">
      <c r="A61" s="47" t="s">
        <v>167</v>
      </c>
      <c r="B61" s="55" t="s">
        <v>62</v>
      </c>
      <c r="C61" s="55" t="s">
        <v>546</v>
      </c>
      <c r="D61" s="178" t="s">
        <v>867</v>
      </c>
      <c r="E61" s="179"/>
      <c r="F61" s="179"/>
      <c r="G61" s="55" t="s">
        <v>995</v>
      </c>
      <c r="H61" s="64">
        <v>6.0309200000000001</v>
      </c>
      <c r="I61" s="71">
        <v>216</v>
      </c>
      <c r="J61" s="64">
        <f t="shared" si="0"/>
        <v>0</v>
      </c>
      <c r="K61" s="64">
        <f t="shared" si="1"/>
        <v>1302.6787200000001</v>
      </c>
      <c r="L61" s="64">
        <f t="shared" si="2"/>
        <v>1302.6787200000001</v>
      </c>
      <c r="M61" s="79" t="s">
        <v>1019</v>
      </c>
      <c r="N61" s="19"/>
      <c r="Z61" s="35">
        <f t="shared" si="3"/>
        <v>1302.6787200000001</v>
      </c>
      <c r="AB61" s="35">
        <f t="shared" si="4"/>
        <v>0</v>
      </c>
      <c r="AC61" s="35">
        <f t="shared" si="5"/>
        <v>0</v>
      </c>
      <c r="AD61" s="35">
        <f t="shared" si="6"/>
        <v>0</v>
      </c>
      <c r="AE61" s="35">
        <f t="shared" si="7"/>
        <v>0</v>
      </c>
      <c r="AF61" s="35">
        <f t="shared" si="8"/>
        <v>0</v>
      </c>
      <c r="AG61" s="35">
        <f t="shared" si="9"/>
        <v>0</v>
      </c>
      <c r="AH61" s="35">
        <f t="shared" si="10"/>
        <v>0</v>
      </c>
      <c r="AI61" s="83" t="s">
        <v>62</v>
      </c>
      <c r="AJ61" s="64">
        <f t="shared" si="11"/>
        <v>0</v>
      </c>
      <c r="AK61" s="64">
        <f t="shared" si="12"/>
        <v>0</v>
      </c>
      <c r="AL61" s="64">
        <f t="shared" si="13"/>
        <v>1302.6787200000001</v>
      </c>
      <c r="AN61" s="35">
        <v>21</v>
      </c>
      <c r="AO61" s="35">
        <f t="shared" si="14"/>
        <v>0</v>
      </c>
      <c r="AP61" s="35">
        <f t="shared" si="15"/>
        <v>216</v>
      </c>
      <c r="AQ61" s="84" t="s">
        <v>143</v>
      </c>
      <c r="AV61" s="35">
        <f t="shared" si="16"/>
        <v>1302.6787200000001</v>
      </c>
      <c r="AW61" s="35">
        <f t="shared" si="17"/>
        <v>0</v>
      </c>
      <c r="AX61" s="35">
        <f t="shared" si="18"/>
        <v>1302.6787200000001</v>
      </c>
      <c r="AY61" s="86" t="s">
        <v>1042</v>
      </c>
      <c r="AZ61" s="86" t="s">
        <v>1054</v>
      </c>
      <c r="BA61" s="83" t="s">
        <v>1076</v>
      </c>
      <c r="BC61" s="35">
        <f t="shared" si="19"/>
        <v>1302.6787200000001</v>
      </c>
      <c r="BD61" s="35">
        <f t="shared" si="20"/>
        <v>216</v>
      </c>
      <c r="BE61" s="35">
        <v>0</v>
      </c>
      <c r="BF61" s="35">
        <f>61</f>
        <v>61</v>
      </c>
      <c r="BH61" s="64">
        <f t="shared" si="21"/>
        <v>0</v>
      </c>
      <c r="BI61" s="64">
        <f t="shared" si="22"/>
        <v>1302.6787200000001</v>
      </c>
      <c r="BJ61" s="64">
        <f t="shared" si="23"/>
        <v>1302.6787200000001</v>
      </c>
      <c r="BK61" s="64" t="s">
        <v>1086</v>
      </c>
      <c r="BL61" s="35" t="s">
        <v>113</v>
      </c>
    </row>
    <row r="62" spans="1:64" x14ac:dyDescent="0.2">
      <c r="A62" s="47" t="s">
        <v>168</v>
      </c>
      <c r="B62" s="55" t="s">
        <v>62</v>
      </c>
      <c r="C62" s="55" t="s">
        <v>547</v>
      </c>
      <c r="D62" s="178" t="s">
        <v>868</v>
      </c>
      <c r="E62" s="179"/>
      <c r="F62" s="179"/>
      <c r="G62" s="55" t="s">
        <v>995</v>
      </c>
      <c r="H62" s="64">
        <v>1.2E-2</v>
      </c>
      <c r="I62" s="71">
        <v>1566</v>
      </c>
      <c r="J62" s="64">
        <f t="shared" si="0"/>
        <v>0</v>
      </c>
      <c r="K62" s="64">
        <f t="shared" si="1"/>
        <v>18.792000000000002</v>
      </c>
      <c r="L62" s="64">
        <f t="shared" si="2"/>
        <v>18.792000000000002</v>
      </c>
      <c r="M62" s="79" t="s">
        <v>1019</v>
      </c>
      <c r="N62" s="19"/>
      <c r="Z62" s="35">
        <f t="shared" si="3"/>
        <v>18.792000000000002</v>
      </c>
      <c r="AB62" s="35">
        <f t="shared" si="4"/>
        <v>0</v>
      </c>
      <c r="AC62" s="35">
        <f t="shared" si="5"/>
        <v>0</v>
      </c>
      <c r="AD62" s="35">
        <f t="shared" si="6"/>
        <v>0</v>
      </c>
      <c r="AE62" s="35">
        <f t="shared" si="7"/>
        <v>0</v>
      </c>
      <c r="AF62" s="35">
        <f t="shared" si="8"/>
        <v>0</v>
      </c>
      <c r="AG62" s="35">
        <f t="shared" si="9"/>
        <v>0</v>
      </c>
      <c r="AH62" s="35">
        <f t="shared" si="10"/>
        <v>0</v>
      </c>
      <c r="AI62" s="83" t="s">
        <v>62</v>
      </c>
      <c r="AJ62" s="64">
        <f t="shared" si="11"/>
        <v>0</v>
      </c>
      <c r="AK62" s="64">
        <f t="shared" si="12"/>
        <v>0</v>
      </c>
      <c r="AL62" s="64">
        <f t="shared" si="13"/>
        <v>18.792000000000002</v>
      </c>
      <c r="AN62" s="35">
        <v>21</v>
      </c>
      <c r="AO62" s="35">
        <f t="shared" si="14"/>
        <v>0</v>
      </c>
      <c r="AP62" s="35">
        <f t="shared" si="15"/>
        <v>1566</v>
      </c>
      <c r="AQ62" s="84" t="s">
        <v>143</v>
      </c>
      <c r="AV62" s="35">
        <f t="shared" si="16"/>
        <v>18.792000000000002</v>
      </c>
      <c r="AW62" s="35">
        <f t="shared" si="17"/>
        <v>0</v>
      </c>
      <c r="AX62" s="35">
        <f t="shared" si="18"/>
        <v>18.792000000000002</v>
      </c>
      <c r="AY62" s="86" t="s">
        <v>1042</v>
      </c>
      <c r="AZ62" s="86" t="s">
        <v>1054</v>
      </c>
      <c r="BA62" s="83" t="s">
        <v>1076</v>
      </c>
      <c r="BC62" s="35">
        <f t="shared" si="19"/>
        <v>18.792000000000002</v>
      </c>
      <c r="BD62" s="35">
        <f t="shared" si="20"/>
        <v>1566</v>
      </c>
      <c r="BE62" s="35">
        <v>0</v>
      </c>
      <c r="BF62" s="35">
        <f>62</f>
        <v>62</v>
      </c>
      <c r="BH62" s="64">
        <f t="shared" si="21"/>
        <v>0</v>
      </c>
      <c r="BI62" s="64">
        <f t="shared" si="22"/>
        <v>18.792000000000002</v>
      </c>
      <c r="BJ62" s="64">
        <f t="shared" si="23"/>
        <v>18.792000000000002</v>
      </c>
      <c r="BK62" s="64" t="s">
        <v>1086</v>
      </c>
      <c r="BL62" s="35" t="s">
        <v>113</v>
      </c>
    </row>
    <row r="63" spans="1:64" x14ac:dyDescent="0.2">
      <c r="A63" s="48"/>
      <c r="B63" s="56" t="s">
        <v>63</v>
      </c>
      <c r="C63" s="56"/>
      <c r="D63" s="184" t="s">
        <v>70</v>
      </c>
      <c r="E63" s="185"/>
      <c r="F63" s="185"/>
      <c r="G63" s="62" t="s">
        <v>60</v>
      </c>
      <c r="H63" s="62" t="s">
        <v>60</v>
      </c>
      <c r="I63" s="72" t="s">
        <v>60</v>
      </c>
      <c r="J63" s="90">
        <f>J64+J71+J82+J93+J118+J223</f>
        <v>269425</v>
      </c>
      <c r="K63" s="90">
        <f>K64+K71+K82+K93+K118+K223</f>
        <v>88348.05</v>
      </c>
      <c r="L63" s="90">
        <f>L64+L71+L82+L93+L118+L223</f>
        <v>357773.05000000005</v>
      </c>
      <c r="M63" s="80"/>
      <c r="N63" s="19"/>
    </row>
    <row r="64" spans="1:64" x14ac:dyDescent="0.2">
      <c r="A64" s="46"/>
      <c r="B64" s="54" t="s">
        <v>63</v>
      </c>
      <c r="C64" s="54" t="s">
        <v>102</v>
      </c>
      <c r="D64" s="176" t="s">
        <v>121</v>
      </c>
      <c r="E64" s="177"/>
      <c r="F64" s="177"/>
      <c r="G64" s="61" t="s">
        <v>60</v>
      </c>
      <c r="H64" s="61" t="s">
        <v>60</v>
      </c>
      <c r="I64" s="70" t="s">
        <v>60</v>
      </c>
      <c r="J64" s="89">
        <f>SUM(J65:J69)</f>
        <v>4060</v>
      </c>
      <c r="K64" s="89">
        <f>SUM(K65:K69)</f>
        <v>9713.9069999999992</v>
      </c>
      <c r="L64" s="89">
        <f>SUM(L65:L69)</f>
        <v>13773.906999999999</v>
      </c>
      <c r="M64" s="78"/>
      <c r="N64" s="19"/>
      <c r="AI64" s="83" t="s">
        <v>63</v>
      </c>
      <c r="AS64" s="89">
        <f>SUM(AJ65:AJ69)</f>
        <v>0</v>
      </c>
      <c r="AT64" s="89">
        <f>SUM(AK65:AK69)</f>
        <v>0</v>
      </c>
      <c r="AU64" s="89">
        <f>SUM(AL65:AL69)</f>
        <v>13773.906999999999</v>
      </c>
    </row>
    <row r="65" spans="1:64" x14ac:dyDescent="0.2">
      <c r="A65" s="47" t="s">
        <v>104</v>
      </c>
      <c r="B65" s="55" t="s">
        <v>63</v>
      </c>
      <c r="C65" s="55" t="s">
        <v>548</v>
      </c>
      <c r="D65" s="178" t="s">
        <v>869</v>
      </c>
      <c r="E65" s="179"/>
      <c r="F65" s="179"/>
      <c r="G65" s="55" t="s">
        <v>999</v>
      </c>
      <c r="H65" s="64">
        <v>7</v>
      </c>
      <c r="I65" s="71">
        <v>1350</v>
      </c>
      <c r="J65" s="64">
        <f>H65*AO65</f>
        <v>0</v>
      </c>
      <c r="K65" s="64">
        <f>H65*AP65</f>
        <v>9450</v>
      </c>
      <c r="L65" s="64">
        <f>H65*I65</f>
        <v>9450</v>
      </c>
      <c r="M65" s="79" t="s">
        <v>1020</v>
      </c>
      <c r="N65" s="19"/>
      <c r="Z65" s="35">
        <f>IF(AQ65="5",BJ65,0)</f>
        <v>0</v>
      </c>
      <c r="AB65" s="35">
        <f>IF(AQ65="1",BH65,0)</f>
        <v>0</v>
      </c>
      <c r="AC65" s="35">
        <f>IF(AQ65="1",BI65,0)</f>
        <v>0</v>
      </c>
      <c r="AD65" s="35">
        <f>IF(AQ65="7",BH65,0)</f>
        <v>0</v>
      </c>
      <c r="AE65" s="35">
        <f>IF(AQ65="7",BI65,0)</f>
        <v>9450</v>
      </c>
      <c r="AF65" s="35">
        <f>IF(AQ65="2",BH65,0)</f>
        <v>0</v>
      </c>
      <c r="AG65" s="35">
        <f>IF(AQ65="2",BI65,0)</f>
        <v>0</v>
      </c>
      <c r="AH65" s="35">
        <f>IF(AQ65="0",BJ65,0)</f>
        <v>0</v>
      </c>
      <c r="AI65" s="83" t="s">
        <v>63</v>
      </c>
      <c r="AJ65" s="64">
        <f>IF(AN65=0,L65,0)</f>
        <v>0</v>
      </c>
      <c r="AK65" s="64">
        <f>IF(AN65=15,L65,0)</f>
        <v>0</v>
      </c>
      <c r="AL65" s="64">
        <f>IF(AN65=21,L65,0)</f>
        <v>9450</v>
      </c>
      <c r="AN65" s="35">
        <v>21</v>
      </c>
      <c r="AO65" s="35">
        <f>I65*0</f>
        <v>0</v>
      </c>
      <c r="AP65" s="35">
        <f>I65*(1-0)</f>
        <v>1350</v>
      </c>
      <c r="AQ65" s="84" t="s">
        <v>144</v>
      </c>
      <c r="AV65" s="35">
        <f>AW65+AX65</f>
        <v>9450</v>
      </c>
      <c r="AW65" s="35">
        <f>H65*AO65</f>
        <v>0</v>
      </c>
      <c r="AX65" s="35">
        <f>H65*AP65</f>
        <v>9450</v>
      </c>
      <c r="AY65" s="86" t="s">
        <v>1031</v>
      </c>
      <c r="AZ65" s="86" t="s">
        <v>1055</v>
      </c>
      <c r="BA65" s="83" t="s">
        <v>1077</v>
      </c>
      <c r="BC65" s="35">
        <f>AW65+AX65</f>
        <v>9450</v>
      </c>
      <c r="BD65" s="35">
        <f>I65/(100-BE65)*100</f>
        <v>1350</v>
      </c>
      <c r="BE65" s="35">
        <v>0</v>
      </c>
      <c r="BF65" s="35">
        <f>65</f>
        <v>65</v>
      </c>
      <c r="BH65" s="64">
        <f>H65*AO65</f>
        <v>0</v>
      </c>
      <c r="BI65" s="64">
        <f>H65*AP65</f>
        <v>9450</v>
      </c>
      <c r="BJ65" s="64">
        <f>H65*I65</f>
        <v>9450</v>
      </c>
      <c r="BK65" s="64" t="s">
        <v>1086</v>
      </c>
      <c r="BL65" s="35">
        <v>713</v>
      </c>
    </row>
    <row r="66" spans="1:64" x14ac:dyDescent="0.2">
      <c r="A66" s="19"/>
      <c r="C66" s="59" t="s">
        <v>521</v>
      </c>
      <c r="D66" s="180" t="s">
        <v>869</v>
      </c>
      <c r="E66" s="181"/>
      <c r="F66" s="181"/>
      <c r="G66" s="181"/>
      <c r="H66" s="181"/>
      <c r="I66" s="182"/>
      <c r="J66" s="181"/>
      <c r="K66" s="181"/>
      <c r="L66" s="181"/>
      <c r="M66" s="183"/>
      <c r="N66" s="19"/>
    </row>
    <row r="67" spans="1:64" x14ac:dyDescent="0.2">
      <c r="A67" s="49" t="s">
        <v>169</v>
      </c>
      <c r="B67" s="57" t="s">
        <v>63</v>
      </c>
      <c r="C67" s="57" t="s">
        <v>549</v>
      </c>
      <c r="D67" s="186" t="s">
        <v>870</v>
      </c>
      <c r="E67" s="187"/>
      <c r="F67" s="187"/>
      <c r="G67" s="57" t="s">
        <v>999</v>
      </c>
      <c r="H67" s="65">
        <v>7</v>
      </c>
      <c r="I67" s="73">
        <v>580</v>
      </c>
      <c r="J67" s="65">
        <f>H67*AO67</f>
        <v>4060</v>
      </c>
      <c r="K67" s="65">
        <f>H67*AP67</f>
        <v>0</v>
      </c>
      <c r="L67" s="65">
        <f>H67*I67</f>
        <v>4060</v>
      </c>
      <c r="M67" s="81"/>
      <c r="N67" s="19"/>
      <c r="Z67" s="35">
        <f>IF(AQ67="5",BJ67,0)</f>
        <v>0</v>
      </c>
      <c r="AB67" s="35">
        <f>IF(AQ67="1",BH67,0)</f>
        <v>0</v>
      </c>
      <c r="AC67" s="35">
        <f>IF(AQ67="1",BI67,0)</f>
        <v>0</v>
      </c>
      <c r="AD67" s="35">
        <f>IF(AQ67="7",BH67,0)</f>
        <v>4060</v>
      </c>
      <c r="AE67" s="35">
        <f>IF(AQ67="7",BI67,0)</f>
        <v>0</v>
      </c>
      <c r="AF67" s="35">
        <f>IF(AQ67="2",BH67,0)</f>
        <v>0</v>
      </c>
      <c r="AG67" s="35">
        <f>IF(AQ67="2",BI67,0)</f>
        <v>0</v>
      </c>
      <c r="AH67" s="35">
        <f>IF(AQ67="0",BJ67,0)</f>
        <v>0</v>
      </c>
      <c r="AI67" s="83" t="s">
        <v>63</v>
      </c>
      <c r="AJ67" s="65">
        <f>IF(AN67=0,L67,0)</f>
        <v>0</v>
      </c>
      <c r="AK67" s="65">
        <f>IF(AN67=15,L67,0)</f>
        <v>0</v>
      </c>
      <c r="AL67" s="65">
        <f>IF(AN67=21,L67,0)</f>
        <v>4060</v>
      </c>
      <c r="AN67" s="35">
        <v>21</v>
      </c>
      <c r="AO67" s="35">
        <f>I67*1</f>
        <v>580</v>
      </c>
      <c r="AP67" s="35">
        <f>I67*(1-1)</f>
        <v>0</v>
      </c>
      <c r="AQ67" s="85" t="s">
        <v>144</v>
      </c>
      <c r="AV67" s="35">
        <f>AW67+AX67</f>
        <v>4060</v>
      </c>
      <c r="AW67" s="35">
        <f>H67*AO67</f>
        <v>4060</v>
      </c>
      <c r="AX67" s="35">
        <f>H67*AP67</f>
        <v>0</v>
      </c>
      <c r="AY67" s="86" t="s">
        <v>1031</v>
      </c>
      <c r="AZ67" s="86" t="s">
        <v>1055</v>
      </c>
      <c r="BA67" s="83" t="s">
        <v>1077</v>
      </c>
      <c r="BC67" s="35">
        <f>AW67+AX67</f>
        <v>4060</v>
      </c>
      <c r="BD67" s="35">
        <f>I67/(100-BE67)*100</f>
        <v>580</v>
      </c>
      <c r="BE67" s="35">
        <v>0</v>
      </c>
      <c r="BF67" s="35">
        <f>67</f>
        <v>67</v>
      </c>
      <c r="BH67" s="65">
        <f>H67*AO67</f>
        <v>4060</v>
      </c>
      <c r="BI67" s="65">
        <f>H67*AP67</f>
        <v>0</v>
      </c>
      <c r="BJ67" s="65">
        <f>H67*I67</f>
        <v>4060</v>
      </c>
      <c r="BK67" s="65" t="s">
        <v>1001</v>
      </c>
      <c r="BL67" s="35">
        <v>713</v>
      </c>
    </row>
    <row r="68" spans="1:64" x14ac:dyDescent="0.2">
      <c r="A68" s="19"/>
      <c r="C68" s="59" t="s">
        <v>521</v>
      </c>
      <c r="D68" s="180" t="s">
        <v>870</v>
      </c>
      <c r="E68" s="181"/>
      <c r="F68" s="181"/>
      <c r="G68" s="181"/>
      <c r="H68" s="181"/>
      <c r="I68" s="182"/>
      <c r="J68" s="181"/>
      <c r="K68" s="181"/>
      <c r="L68" s="181"/>
      <c r="M68" s="183"/>
      <c r="N68" s="19"/>
    </row>
    <row r="69" spans="1:64" x14ac:dyDescent="0.2">
      <c r="A69" s="47" t="s">
        <v>170</v>
      </c>
      <c r="B69" s="55" t="s">
        <v>63</v>
      </c>
      <c r="C69" s="55" t="s">
        <v>550</v>
      </c>
      <c r="D69" s="178" t="s">
        <v>871</v>
      </c>
      <c r="E69" s="179"/>
      <c r="F69" s="179"/>
      <c r="G69" s="55" t="s">
        <v>1000</v>
      </c>
      <c r="H69" s="64">
        <v>149.1</v>
      </c>
      <c r="I69" s="71">
        <v>1.77</v>
      </c>
      <c r="J69" s="64">
        <f>H69*AO69</f>
        <v>0</v>
      </c>
      <c r="K69" s="64">
        <f>H69*AP69</f>
        <v>263.90699999999998</v>
      </c>
      <c r="L69" s="64">
        <f>H69*I69</f>
        <v>263.90699999999998</v>
      </c>
      <c r="M69" s="79" t="s">
        <v>1020</v>
      </c>
      <c r="N69" s="19"/>
      <c r="Z69" s="35">
        <f>IF(AQ69="5",BJ69,0)</f>
        <v>0</v>
      </c>
      <c r="AB69" s="35">
        <f>IF(AQ69="1",BH69,0)</f>
        <v>0</v>
      </c>
      <c r="AC69" s="35">
        <f>IF(AQ69="1",BI69,0)</f>
        <v>0</v>
      </c>
      <c r="AD69" s="35">
        <f>IF(AQ69="7",BH69,0)</f>
        <v>0</v>
      </c>
      <c r="AE69" s="35">
        <f>IF(AQ69="7",BI69,0)</f>
        <v>263.90699999999998</v>
      </c>
      <c r="AF69" s="35">
        <f>IF(AQ69="2",BH69,0)</f>
        <v>0</v>
      </c>
      <c r="AG69" s="35">
        <f>IF(AQ69="2",BI69,0)</f>
        <v>0</v>
      </c>
      <c r="AH69" s="35">
        <f>IF(AQ69="0",BJ69,0)</f>
        <v>0</v>
      </c>
      <c r="AI69" s="83" t="s">
        <v>63</v>
      </c>
      <c r="AJ69" s="64">
        <f>IF(AN69=0,L69,0)</f>
        <v>0</v>
      </c>
      <c r="AK69" s="64">
        <f>IF(AN69=15,L69,0)</f>
        <v>0</v>
      </c>
      <c r="AL69" s="64">
        <f>IF(AN69=21,L69,0)</f>
        <v>263.90699999999998</v>
      </c>
      <c r="AN69" s="35">
        <v>21</v>
      </c>
      <c r="AO69" s="35">
        <f>I69*0</f>
        <v>0</v>
      </c>
      <c r="AP69" s="35">
        <f>I69*(1-0)</f>
        <v>1.77</v>
      </c>
      <c r="AQ69" s="84" t="s">
        <v>144</v>
      </c>
      <c r="AV69" s="35">
        <f>AW69+AX69</f>
        <v>263.90699999999998</v>
      </c>
      <c r="AW69" s="35">
        <f>H69*AO69</f>
        <v>0</v>
      </c>
      <c r="AX69" s="35">
        <f>H69*AP69</f>
        <v>263.90699999999998</v>
      </c>
      <c r="AY69" s="86" t="s">
        <v>1031</v>
      </c>
      <c r="AZ69" s="86" t="s">
        <v>1055</v>
      </c>
      <c r="BA69" s="83" t="s">
        <v>1077</v>
      </c>
      <c r="BC69" s="35">
        <f>AW69+AX69</f>
        <v>263.90699999999998</v>
      </c>
      <c r="BD69" s="35">
        <f>I69/(100-BE69)*100</f>
        <v>1.77</v>
      </c>
      <c r="BE69" s="35">
        <v>0</v>
      </c>
      <c r="BF69" s="35">
        <f>69</f>
        <v>69</v>
      </c>
      <c r="BH69" s="64">
        <f>H69*AO69</f>
        <v>0</v>
      </c>
      <c r="BI69" s="64">
        <f>H69*AP69</f>
        <v>263.90699999999998</v>
      </c>
      <c r="BJ69" s="64">
        <f>H69*I69</f>
        <v>263.90699999999998</v>
      </c>
      <c r="BK69" s="64" t="s">
        <v>1086</v>
      </c>
      <c r="BL69" s="35">
        <v>713</v>
      </c>
    </row>
    <row r="70" spans="1:64" x14ac:dyDescent="0.2">
      <c r="A70" s="19"/>
      <c r="C70" s="59" t="s">
        <v>521</v>
      </c>
      <c r="D70" s="180" t="s">
        <v>872</v>
      </c>
      <c r="E70" s="181"/>
      <c r="F70" s="181"/>
      <c r="G70" s="181"/>
      <c r="H70" s="181"/>
      <c r="I70" s="182"/>
      <c r="J70" s="181"/>
      <c r="K70" s="181"/>
      <c r="L70" s="181"/>
      <c r="M70" s="183"/>
      <c r="N70" s="19"/>
    </row>
    <row r="71" spans="1:64" x14ac:dyDescent="0.2">
      <c r="A71" s="46"/>
      <c r="B71" s="54" t="s">
        <v>63</v>
      </c>
      <c r="C71" s="54" t="s">
        <v>114</v>
      </c>
      <c r="D71" s="176" t="s">
        <v>133</v>
      </c>
      <c r="E71" s="177"/>
      <c r="F71" s="177"/>
      <c r="G71" s="61" t="s">
        <v>60</v>
      </c>
      <c r="H71" s="61" t="s">
        <v>60</v>
      </c>
      <c r="I71" s="70" t="s">
        <v>60</v>
      </c>
      <c r="J71" s="89">
        <f>SUM(J72:J80)</f>
        <v>605</v>
      </c>
      <c r="K71" s="89">
        <f>SUM(K72:K80)</f>
        <v>1677.2809999999999</v>
      </c>
      <c r="L71" s="89">
        <f>SUM(L72:L80)</f>
        <v>2282.2809999999999</v>
      </c>
      <c r="M71" s="78"/>
      <c r="N71" s="19"/>
      <c r="AI71" s="83" t="s">
        <v>63</v>
      </c>
      <c r="AS71" s="89">
        <f>SUM(AJ72:AJ80)</f>
        <v>0</v>
      </c>
      <c r="AT71" s="89">
        <f>SUM(AK72:AK80)</f>
        <v>0</v>
      </c>
      <c r="AU71" s="89">
        <f>SUM(AL72:AL80)</f>
        <v>2282.2809999999999</v>
      </c>
    </row>
    <row r="72" spans="1:64" x14ac:dyDescent="0.2">
      <c r="A72" s="47" t="s">
        <v>171</v>
      </c>
      <c r="B72" s="55" t="s">
        <v>63</v>
      </c>
      <c r="C72" s="55" t="s">
        <v>551</v>
      </c>
      <c r="D72" s="178" t="s">
        <v>873</v>
      </c>
      <c r="E72" s="179"/>
      <c r="F72" s="179"/>
      <c r="G72" s="55" t="s">
        <v>1001</v>
      </c>
      <c r="H72" s="64">
        <v>10</v>
      </c>
      <c r="I72" s="71">
        <v>125</v>
      </c>
      <c r="J72" s="64">
        <f>H72*AO72</f>
        <v>0</v>
      </c>
      <c r="K72" s="64">
        <f>H72*AP72</f>
        <v>1250</v>
      </c>
      <c r="L72" s="64">
        <f>H72*I72</f>
        <v>1250</v>
      </c>
      <c r="M72" s="79"/>
      <c r="N72" s="19"/>
      <c r="Z72" s="35">
        <f>IF(AQ72="5",BJ72,0)</f>
        <v>0</v>
      </c>
      <c r="AB72" s="35">
        <f>IF(AQ72="1",BH72,0)</f>
        <v>0</v>
      </c>
      <c r="AC72" s="35">
        <f>IF(AQ72="1",BI72,0)</f>
        <v>0</v>
      </c>
      <c r="AD72" s="35">
        <f>IF(AQ72="7",BH72,0)</f>
        <v>0</v>
      </c>
      <c r="AE72" s="35">
        <f>IF(AQ72="7",BI72,0)</f>
        <v>1250</v>
      </c>
      <c r="AF72" s="35">
        <f>IF(AQ72="2",BH72,0)</f>
        <v>0</v>
      </c>
      <c r="AG72" s="35">
        <f>IF(AQ72="2",BI72,0)</f>
        <v>0</v>
      </c>
      <c r="AH72" s="35">
        <f>IF(AQ72="0",BJ72,0)</f>
        <v>0</v>
      </c>
      <c r="AI72" s="83" t="s">
        <v>63</v>
      </c>
      <c r="AJ72" s="64">
        <f>IF(AN72=0,L72,0)</f>
        <v>0</v>
      </c>
      <c r="AK72" s="64">
        <f>IF(AN72=15,L72,0)</f>
        <v>0</v>
      </c>
      <c r="AL72" s="64">
        <f>IF(AN72=21,L72,0)</f>
        <v>1250</v>
      </c>
      <c r="AN72" s="35">
        <v>21</v>
      </c>
      <c r="AO72" s="35">
        <f>I72*0</f>
        <v>0</v>
      </c>
      <c r="AP72" s="35">
        <f>I72*(1-0)</f>
        <v>125</v>
      </c>
      <c r="AQ72" s="84" t="s">
        <v>144</v>
      </c>
      <c r="AV72" s="35">
        <f>AW72+AX72</f>
        <v>1250</v>
      </c>
      <c r="AW72" s="35">
        <f>H72*AO72</f>
        <v>0</v>
      </c>
      <c r="AX72" s="35">
        <f>H72*AP72</f>
        <v>1250</v>
      </c>
      <c r="AY72" s="86" t="s">
        <v>1043</v>
      </c>
      <c r="AZ72" s="86" t="s">
        <v>1056</v>
      </c>
      <c r="BA72" s="83" t="s">
        <v>1077</v>
      </c>
      <c r="BC72" s="35">
        <f>AW72+AX72</f>
        <v>1250</v>
      </c>
      <c r="BD72" s="35">
        <f>I72/(100-BE72)*100</f>
        <v>125</v>
      </c>
      <c r="BE72" s="35">
        <v>0</v>
      </c>
      <c r="BF72" s="35">
        <f>72</f>
        <v>72</v>
      </c>
      <c r="BH72" s="64">
        <f>H72*AO72</f>
        <v>0</v>
      </c>
      <c r="BI72" s="64">
        <f>H72*AP72</f>
        <v>1250</v>
      </c>
      <c r="BJ72" s="64">
        <f>H72*I72</f>
        <v>1250</v>
      </c>
      <c r="BK72" s="64" t="s">
        <v>1086</v>
      </c>
      <c r="BL72" s="35">
        <v>724</v>
      </c>
    </row>
    <row r="73" spans="1:64" x14ac:dyDescent="0.2">
      <c r="A73" s="19"/>
      <c r="C73" s="59" t="s">
        <v>521</v>
      </c>
      <c r="D73" s="180" t="s">
        <v>873</v>
      </c>
      <c r="E73" s="181"/>
      <c r="F73" s="181"/>
      <c r="G73" s="181"/>
      <c r="H73" s="181"/>
      <c r="I73" s="182"/>
      <c r="J73" s="181"/>
      <c r="K73" s="181"/>
      <c r="L73" s="181"/>
      <c r="M73" s="183"/>
      <c r="N73" s="19"/>
    </row>
    <row r="74" spans="1:64" x14ac:dyDescent="0.2">
      <c r="A74" s="49" t="s">
        <v>172</v>
      </c>
      <c r="B74" s="57" t="s">
        <v>63</v>
      </c>
      <c r="C74" s="57" t="s">
        <v>552</v>
      </c>
      <c r="D74" s="186" t="s">
        <v>874</v>
      </c>
      <c r="E74" s="187"/>
      <c r="F74" s="187"/>
      <c r="G74" s="57" t="s">
        <v>1001</v>
      </c>
      <c r="H74" s="65">
        <v>11</v>
      </c>
      <c r="I74" s="73">
        <v>19</v>
      </c>
      <c r="J74" s="65">
        <f>H74*AO74</f>
        <v>209</v>
      </c>
      <c r="K74" s="65">
        <f>H74*AP74</f>
        <v>0</v>
      </c>
      <c r="L74" s="65">
        <f>H74*I74</f>
        <v>209</v>
      </c>
      <c r="M74" s="81"/>
      <c r="N74" s="19"/>
      <c r="Z74" s="35">
        <f>IF(AQ74="5",BJ74,0)</f>
        <v>0</v>
      </c>
      <c r="AB74" s="35">
        <f>IF(AQ74="1",BH74,0)</f>
        <v>0</v>
      </c>
      <c r="AC74" s="35">
        <f>IF(AQ74="1",BI74,0)</f>
        <v>0</v>
      </c>
      <c r="AD74" s="35">
        <f>IF(AQ74="7",BH74,0)</f>
        <v>209</v>
      </c>
      <c r="AE74" s="35">
        <f>IF(AQ74="7",BI74,0)</f>
        <v>0</v>
      </c>
      <c r="AF74" s="35">
        <f>IF(AQ74="2",BH74,0)</f>
        <v>0</v>
      </c>
      <c r="AG74" s="35">
        <f>IF(AQ74="2",BI74,0)</f>
        <v>0</v>
      </c>
      <c r="AH74" s="35">
        <f>IF(AQ74="0",BJ74,0)</f>
        <v>0</v>
      </c>
      <c r="AI74" s="83" t="s">
        <v>63</v>
      </c>
      <c r="AJ74" s="65">
        <f>IF(AN74=0,L74,0)</f>
        <v>0</v>
      </c>
      <c r="AK74" s="65">
        <f>IF(AN74=15,L74,0)</f>
        <v>0</v>
      </c>
      <c r="AL74" s="65">
        <f>IF(AN74=21,L74,0)</f>
        <v>209</v>
      </c>
      <c r="AN74" s="35">
        <v>21</v>
      </c>
      <c r="AO74" s="35">
        <f>I74*1</f>
        <v>19</v>
      </c>
      <c r="AP74" s="35">
        <f>I74*(1-1)</f>
        <v>0</v>
      </c>
      <c r="AQ74" s="85" t="s">
        <v>144</v>
      </c>
      <c r="AV74" s="35">
        <f>AW74+AX74</f>
        <v>209</v>
      </c>
      <c r="AW74" s="35">
        <f>H74*AO74</f>
        <v>209</v>
      </c>
      <c r="AX74" s="35">
        <f>H74*AP74</f>
        <v>0</v>
      </c>
      <c r="AY74" s="86" t="s">
        <v>1043</v>
      </c>
      <c r="AZ74" s="86" t="s">
        <v>1056</v>
      </c>
      <c r="BA74" s="83" t="s">
        <v>1077</v>
      </c>
      <c r="BC74" s="35">
        <f>AW74+AX74</f>
        <v>209</v>
      </c>
      <c r="BD74" s="35">
        <f>I74/(100-BE74)*100</f>
        <v>19</v>
      </c>
      <c r="BE74" s="35">
        <v>0</v>
      </c>
      <c r="BF74" s="35">
        <f>74</f>
        <v>74</v>
      </c>
      <c r="BH74" s="65">
        <f>H74*AO74</f>
        <v>209</v>
      </c>
      <c r="BI74" s="65">
        <f>H74*AP74</f>
        <v>0</v>
      </c>
      <c r="BJ74" s="65">
        <f>H74*I74</f>
        <v>209</v>
      </c>
      <c r="BK74" s="65" t="s">
        <v>1001</v>
      </c>
      <c r="BL74" s="35">
        <v>724</v>
      </c>
    </row>
    <row r="75" spans="1:64" x14ac:dyDescent="0.2">
      <c r="A75" s="19"/>
      <c r="C75" s="59" t="s">
        <v>521</v>
      </c>
      <c r="D75" s="180" t="s">
        <v>874</v>
      </c>
      <c r="E75" s="181"/>
      <c r="F75" s="181"/>
      <c r="G75" s="181"/>
      <c r="H75" s="181"/>
      <c r="I75" s="182"/>
      <c r="J75" s="181"/>
      <c r="K75" s="181"/>
      <c r="L75" s="181"/>
      <c r="M75" s="183"/>
      <c r="N75" s="19"/>
    </row>
    <row r="76" spans="1:64" x14ac:dyDescent="0.2">
      <c r="A76" s="47" t="s">
        <v>173</v>
      </c>
      <c r="B76" s="55" t="s">
        <v>63</v>
      </c>
      <c r="C76" s="55" t="s">
        <v>553</v>
      </c>
      <c r="D76" s="178" t="s">
        <v>875</v>
      </c>
      <c r="E76" s="179"/>
      <c r="F76" s="179"/>
      <c r="G76" s="55" t="s">
        <v>1002</v>
      </c>
      <c r="H76" s="64">
        <v>1</v>
      </c>
      <c r="I76" s="71">
        <v>396</v>
      </c>
      <c r="J76" s="64">
        <f>H76*AO76</f>
        <v>0</v>
      </c>
      <c r="K76" s="64">
        <f>H76*AP76</f>
        <v>396</v>
      </c>
      <c r="L76" s="64">
        <f>H76*I76</f>
        <v>396</v>
      </c>
      <c r="M76" s="79"/>
      <c r="N76" s="19"/>
      <c r="Z76" s="35">
        <f>IF(AQ76="5",BJ76,0)</f>
        <v>0</v>
      </c>
      <c r="AB76" s="35">
        <f>IF(AQ76="1",BH76,0)</f>
        <v>0</v>
      </c>
      <c r="AC76" s="35">
        <f>IF(AQ76="1",BI76,0)</f>
        <v>0</v>
      </c>
      <c r="AD76" s="35">
        <f>IF(AQ76="7",BH76,0)</f>
        <v>0</v>
      </c>
      <c r="AE76" s="35">
        <f>IF(AQ76="7",BI76,0)</f>
        <v>396</v>
      </c>
      <c r="AF76" s="35">
        <f>IF(AQ76="2",BH76,0)</f>
        <v>0</v>
      </c>
      <c r="AG76" s="35">
        <f>IF(AQ76="2",BI76,0)</f>
        <v>0</v>
      </c>
      <c r="AH76" s="35">
        <f>IF(AQ76="0",BJ76,0)</f>
        <v>0</v>
      </c>
      <c r="AI76" s="83" t="s">
        <v>63</v>
      </c>
      <c r="AJ76" s="64">
        <f>IF(AN76=0,L76,0)</f>
        <v>0</v>
      </c>
      <c r="AK76" s="64">
        <f>IF(AN76=15,L76,0)</f>
        <v>0</v>
      </c>
      <c r="AL76" s="64">
        <f>IF(AN76=21,L76,0)</f>
        <v>396</v>
      </c>
      <c r="AN76" s="35">
        <v>21</v>
      </c>
      <c r="AO76" s="35">
        <f>I76*0</f>
        <v>0</v>
      </c>
      <c r="AP76" s="35">
        <f>I76*(1-0)</f>
        <v>396</v>
      </c>
      <c r="AQ76" s="84" t="s">
        <v>144</v>
      </c>
      <c r="AV76" s="35">
        <f>AW76+AX76</f>
        <v>396</v>
      </c>
      <c r="AW76" s="35">
        <f>H76*AO76</f>
        <v>0</v>
      </c>
      <c r="AX76" s="35">
        <f>H76*AP76</f>
        <v>396</v>
      </c>
      <c r="AY76" s="86" t="s">
        <v>1043</v>
      </c>
      <c r="AZ76" s="86" t="s">
        <v>1056</v>
      </c>
      <c r="BA76" s="83" t="s">
        <v>1077</v>
      </c>
      <c r="BC76" s="35">
        <f>AW76+AX76</f>
        <v>396</v>
      </c>
      <c r="BD76" s="35">
        <f>I76/(100-BE76)*100</f>
        <v>396</v>
      </c>
      <c r="BE76" s="35">
        <v>0</v>
      </c>
      <c r="BF76" s="35">
        <f>76</f>
        <v>76</v>
      </c>
      <c r="BH76" s="64">
        <f>H76*AO76</f>
        <v>0</v>
      </c>
      <c r="BI76" s="64">
        <f>H76*AP76</f>
        <v>396</v>
      </c>
      <c r="BJ76" s="64">
        <f>H76*I76</f>
        <v>396</v>
      </c>
      <c r="BK76" s="64" t="s">
        <v>1086</v>
      </c>
      <c r="BL76" s="35">
        <v>724</v>
      </c>
    </row>
    <row r="77" spans="1:64" x14ac:dyDescent="0.2">
      <c r="A77" s="19"/>
      <c r="C77" s="59" t="s">
        <v>521</v>
      </c>
      <c r="D77" s="180" t="s">
        <v>875</v>
      </c>
      <c r="E77" s="181"/>
      <c r="F77" s="181"/>
      <c r="G77" s="181"/>
      <c r="H77" s="181"/>
      <c r="I77" s="182"/>
      <c r="J77" s="181"/>
      <c r="K77" s="181"/>
      <c r="L77" s="181"/>
      <c r="M77" s="183"/>
      <c r="N77" s="19"/>
    </row>
    <row r="78" spans="1:64" x14ac:dyDescent="0.2">
      <c r="A78" s="49" t="s">
        <v>174</v>
      </c>
      <c r="B78" s="57" t="s">
        <v>63</v>
      </c>
      <c r="C78" s="57" t="s">
        <v>554</v>
      </c>
      <c r="D78" s="186" t="s">
        <v>876</v>
      </c>
      <c r="E78" s="187"/>
      <c r="F78" s="187"/>
      <c r="G78" s="57" t="s">
        <v>1001</v>
      </c>
      <c r="H78" s="65">
        <v>11</v>
      </c>
      <c r="I78" s="73">
        <v>36</v>
      </c>
      <c r="J78" s="65">
        <f>H78*AO78</f>
        <v>396</v>
      </c>
      <c r="K78" s="65">
        <f>H78*AP78</f>
        <v>0</v>
      </c>
      <c r="L78" s="65">
        <f>H78*I78</f>
        <v>396</v>
      </c>
      <c r="M78" s="81"/>
      <c r="N78" s="19"/>
      <c r="Z78" s="35">
        <f>IF(AQ78="5",BJ78,0)</f>
        <v>0</v>
      </c>
      <c r="AB78" s="35">
        <f>IF(AQ78="1",BH78,0)</f>
        <v>0</v>
      </c>
      <c r="AC78" s="35">
        <f>IF(AQ78="1",BI78,0)</f>
        <v>0</v>
      </c>
      <c r="AD78" s="35">
        <f>IF(AQ78="7",BH78,0)</f>
        <v>396</v>
      </c>
      <c r="AE78" s="35">
        <f>IF(AQ78="7",BI78,0)</f>
        <v>0</v>
      </c>
      <c r="AF78" s="35">
        <f>IF(AQ78="2",BH78,0)</f>
        <v>0</v>
      </c>
      <c r="AG78" s="35">
        <f>IF(AQ78="2",BI78,0)</f>
        <v>0</v>
      </c>
      <c r="AH78" s="35">
        <f>IF(AQ78="0",BJ78,0)</f>
        <v>0</v>
      </c>
      <c r="AI78" s="83" t="s">
        <v>63</v>
      </c>
      <c r="AJ78" s="65">
        <f>IF(AN78=0,L78,0)</f>
        <v>0</v>
      </c>
      <c r="AK78" s="65">
        <f>IF(AN78=15,L78,0)</f>
        <v>0</v>
      </c>
      <c r="AL78" s="65">
        <f>IF(AN78=21,L78,0)</f>
        <v>396</v>
      </c>
      <c r="AN78" s="35">
        <v>21</v>
      </c>
      <c r="AO78" s="35">
        <f>I78*1</f>
        <v>36</v>
      </c>
      <c r="AP78" s="35">
        <f>I78*(1-1)</f>
        <v>0</v>
      </c>
      <c r="AQ78" s="85" t="s">
        <v>144</v>
      </c>
      <c r="AV78" s="35">
        <f>AW78+AX78</f>
        <v>396</v>
      </c>
      <c r="AW78" s="35">
        <f>H78*AO78</f>
        <v>396</v>
      </c>
      <c r="AX78" s="35">
        <f>H78*AP78</f>
        <v>0</v>
      </c>
      <c r="AY78" s="86" t="s">
        <v>1043</v>
      </c>
      <c r="AZ78" s="86" t="s">
        <v>1056</v>
      </c>
      <c r="BA78" s="83" t="s">
        <v>1077</v>
      </c>
      <c r="BC78" s="35">
        <f>AW78+AX78</f>
        <v>396</v>
      </c>
      <c r="BD78" s="35">
        <f>I78/(100-BE78)*100</f>
        <v>36</v>
      </c>
      <c r="BE78" s="35">
        <v>0</v>
      </c>
      <c r="BF78" s="35">
        <f>78</f>
        <v>78</v>
      </c>
      <c r="BH78" s="65">
        <f>H78*AO78</f>
        <v>396</v>
      </c>
      <c r="BI78" s="65">
        <f>H78*AP78</f>
        <v>0</v>
      </c>
      <c r="BJ78" s="65">
        <f>H78*I78</f>
        <v>396</v>
      </c>
      <c r="BK78" s="65" t="s">
        <v>1001</v>
      </c>
      <c r="BL78" s="35">
        <v>724</v>
      </c>
    </row>
    <row r="79" spans="1:64" x14ac:dyDescent="0.2">
      <c r="A79" s="19"/>
      <c r="C79" s="59" t="s">
        <v>521</v>
      </c>
      <c r="D79" s="180" t="s">
        <v>876</v>
      </c>
      <c r="E79" s="181"/>
      <c r="F79" s="181"/>
      <c r="G79" s="181"/>
      <c r="H79" s="181"/>
      <c r="I79" s="182"/>
      <c r="J79" s="181"/>
      <c r="K79" s="181"/>
      <c r="L79" s="181"/>
      <c r="M79" s="183"/>
      <c r="N79" s="19"/>
    </row>
    <row r="80" spans="1:64" x14ac:dyDescent="0.2">
      <c r="A80" s="47" t="s">
        <v>105</v>
      </c>
      <c r="B80" s="55" t="s">
        <v>63</v>
      </c>
      <c r="C80" s="55" t="s">
        <v>555</v>
      </c>
      <c r="D80" s="178" t="s">
        <v>877</v>
      </c>
      <c r="E80" s="179"/>
      <c r="F80" s="179"/>
      <c r="G80" s="55" t="s">
        <v>1000</v>
      </c>
      <c r="H80" s="64">
        <v>31.280999999999999</v>
      </c>
      <c r="I80" s="71">
        <v>1</v>
      </c>
      <c r="J80" s="64">
        <f>H80*AO80</f>
        <v>0</v>
      </c>
      <c r="K80" s="64">
        <f>H80*AP80</f>
        <v>31.280999999999999</v>
      </c>
      <c r="L80" s="64">
        <f>H80*I80</f>
        <v>31.280999999999999</v>
      </c>
      <c r="M80" s="79" t="s">
        <v>1020</v>
      </c>
      <c r="N80" s="19"/>
      <c r="Z80" s="35">
        <f>IF(AQ80="5",BJ80,0)</f>
        <v>0</v>
      </c>
      <c r="AB80" s="35">
        <f>IF(AQ80="1",BH80,0)</f>
        <v>0</v>
      </c>
      <c r="AC80" s="35">
        <f>IF(AQ80="1",BI80,0)</f>
        <v>0</v>
      </c>
      <c r="AD80" s="35">
        <f>IF(AQ80="7",BH80,0)</f>
        <v>0</v>
      </c>
      <c r="AE80" s="35">
        <f>IF(AQ80="7",BI80,0)</f>
        <v>31.280999999999999</v>
      </c>
      <c r="AF80" s="35">
        <f>IF(AQ80="2",BH80,0)</f>
        <v>0</v>
      </c>
      <c r="AG80" s="35">
        <f>IF(AQ80="2",BI80,0)</f>
        <v>0</v>
      </c>
      <c r="AH80" s="35">
        <f>IF(AQ80="0",BJ80,0)</f>
        <v>0</v>
      </c>
      <c r="AI80" s="83" t="s">
        <v>63</v>
      </c>
      <c r="AJ80" s="64">
        <f>IF(AN80=0,L80,0)</f>
        <v>0</v>
      </c>
      <c r="AK80" s="64">
        <f>IF(AN80=15,L80,0)</f>
        <v>0</v>
      </c>
      <c r="AL80" s="64">
        <f>IF(AN80=21,L80,0)</f>
        <v>31.280999999999999</v>
      </c>
      <c r="AN80" s="35">
        <v>21</v>
      </c>
      <c r="AO80" s="35">
        <f>I80*0</f>
        <v>0</v>
      </c>
      <c r="AP80" s="35">
        <f>I80*(1-0)</f>
        <v>1</v>
      </c>
      <c r="AQ80" s="84" t="s">
        <v>144</v>
      </c>
      <c r="AV80" s="35">
        <f>AW80+AX80</f>
        <v>31.280999999999999</v>
      </c>
      <c r="AW80" s="35">
        <f>H80*AO80</f>
        <v>0</v>
      </c>
      <c r="AX80" s="35">
        <f>H80*AP80</f>
        <v>31.280999999999999</v>
      </c>
      <c r="AY80" s="86" t="s">
        <v>1043</v>
      </c>
      <c r="AZ80" s="86" t="s">
        <v>1056</v>
      </c>
      <c r="BA80" s="83" t="s">
        <v>1077</v>
      </c>
      <c r="BC80" s="35">
        <f>AW80+AX80</f>
        <v>31.280999999999999</v>
      </c>
      <c r="BD80" s="35">
        <f>I80/(100-BE80)*100</f>
        <v>1</v>
      </c>
      <c r="BE80" s="35">
        <v>0</v>
      </c>
      <c r="BF80" s="35">
        <f>80</f>
        <v>80</v>
      </c>
      <c r="BH80" s="64">
        <f>H80*AO80</f>
        <v>0</v>
      </c>
      <c r="BI80" s="64">
        <f>H80*AP80</f>
        <v>31.280999999999999</v>
      </c>
      <c r="BJ80" s="64">
        <f>H80*I80</f>
        <v>31.280999999999999</v>
      </c>
      <c r="BK80" s="64" t="s">
        <v>1086</v>
      </c>
      <c r="BL80" s="35">
        <v>724</v>
      </c>
    </row>
    <row r="81" spans="1:64" x14ac:dyDescent="0.2">
      <c r="A81" s="19"/>
      <c r="C81" s="59" t="s">
        <v>521</v>
      </c>
      <c r="D81" s="180" t="s">
        <v>878</v>
      </c>
      <c r="E81" s="181"/>
      <c r="F81" s="181"/>
      <c r="G81" s="181"/>
      <c r="H81" s="181"/>
      <c r="I81" s="182"/>
      <c r="J81" s="181"/>
      <c r="K81" s="181"/>
      <c r="L81" s="181"/>
      <c r="M81" s="183"/>
      <c r="N81" s="19"/>
    </row>
    <row r="82" spans="1:64" x14ac:dyDescent="0.2">
      <c r="A82" s="46"/>
      <c r="B82" s="54" t="s">
        <v>63</v>
      </c>
      <c r="C82" s="54" t="s">
        <v>115</v>
      </c>
      <c r="D82" s="176" t="s">
        <v>134</v>
      </c>
      <c r="E82" s="177"/>
      <c r="F82" s="177"/>
      <c r="G82" s="61" t="s">
        <v>60</v>
      </c>
      <c r="H82" s="61" t="s">
        <v>60</v>
      </c>
      <c r="I82" s="70" t="s">
        <v>60</v>
      </c>
      <c r="J82" s="89">
        <f>SUM(J83:J91)</f>
        <v>1182</v>
      </c>
      <c r="K82" s="89">
        <f>SUM(K83:K91)</f>
        <v>2824.94</v>
      </c>
      <c r="L82" s="89">
        <f>SUM(L83:L91)</f>
        <v>4006.94</v>
      </c>
      <c r="M82" s="78"/>
      <c r="N82" s="19"/>
      <c r="AI82" s="83" t="s">
        <v>63</v>
      </c>
      <c r="AS82" s="89">
        <f>SUM(AJ83:AJ91)</f>
        <v>0</v>
      </c>
      <c r="AT82" s="89">
        <f>SUM(AK83:AK91)</f>
        <v>0</v>
      </c>
      <c r="AU82" s="89">
        <f>SUM(AL83:AL91)</f>
        <v>4006.94</v>
      </c>
    </row>
    <row r="83" spans="1:64" x14ac:dyDescent="0.2">
      <c r="A83" s="47" t="s">
        <v>175</v>
      </c>
      <c r="B83" s="55" t="s">
        <v>63</v>
      </c>
      <c r="C83" s="55" t="s">
        <v>556</v>
      </c>
      <c r="D83" s="178" t="s">
        <v>879</v>
      </c>
      <c r="E83" s="179"/>
      <c r="F83" s="179"/>
      <c r="G83" s="55" t="s">
        <v>1003</v>
      </c>
      <c r="H83" s="64">
        <v>2</v>
      </c>
      <c r="I83" s="71">
        <v>144</v>
      </c>
      <c r="J83" s="64">
        <f>H83*AO83</f>
        <v>0</v>
      </c>
      <c r="K83" s="64">
        <f>H83*AP83</f>
        <v>288</v>
      </c>
      <c r="L83" s="64">
        <f>H83*I83</f>
        <v>288</v>
      </c>
      <c r="M83" s="79"/>
      <c r="N83" s="19"/>
      <c r="Z83" s="35">
        <f>IF(AQ83="5",BJ83,0)</f>
        <v>0</v>
      </c>
      <c r="AB83" s="35">
        <f>IF(AQ83="1",BH83,0)</f>
        <v>0</v>
      </c>
      <c r="AC83" s="35">
        <f>IF(AQ83="1",BI83,0)</f>
        <v>0</v>
      </c>
      <c r="AD83" s="35">
        <f>IF(AQ83="7",BH83,0)</f>
        <v>0</v>
      </c>
      <c r="AE83" s="35">
        <f>IF(AQ83="7",BI83,0)</f>
        <v>288</v>
      </c>
      <c r="AF83" s="35">
        <f>IF(AQ83="2",BH83,0)</f>
        <v>0</v>
      </c>
      <c r="AG83" s="35">
        <f>IF(AQ83="2",BI83,0)</f>
        <v>0</v>
      </c>
      <c r="AH83" s="35">
        <f>IF(AQ83="0",BJ83,0)</f>
        <v>0</v>
      </c>
      <c r="AI83" s="83" t="s">
        <v>63</v>
      </c>
      <c r="AJ83" s="64">
        <f>IF(AN83=0,L83,0)</f>
        <v>0</v>
      </c>
      <c r="AK83" s="64">
        <f>IF(AN83=15,L83,0)</f>
        <v>0</v>
      </c>
      <c r="AL83" s="64">
        <f>IF(AN83=21,L83,0)</f>
        <v>288</v>
      </c>
      <c r="AN83" s="35">
        <v>21</v>
      </c>
      <c r="AO83" s="35">
        <f>I83*0</f>
        <v>0</v>
      </c>
      <c r="AP83" s="35">
        <f>I83*(1-0)</f>
        <v>144</v>
      </c>
      <c r="AQ83" s="84" t="s">
        <v>144</v>
      </c>
      <c r="AV83" s="35">
        <f>AW83+AX83</f>
        <v>288</v>
      </c>
      <c r="AW83" s="35">
        <f>H83*AO83</f>
        <v>0</v>
      </c>
      <c r="AX83" s="35">
        <f>H83*AP83</f>
        <v>288</v>
      </c>
      <c r="AY83" s="86" t="s">
        <v>1044</v>
      </c>
      <c r="AZ83" s="86" t="s">
        <v>1056</v>
      </c>
      <c r="BA83" s="83" t="s">
        <v>1077</v>
      </c>
      <c r="BC83" s="35">
        <f>AW83+AX83</f>
        <v>288</v>
      </c>
      <c r="BD83" s="35">
        <f>I83/(100-BE83)*100</f>
        <v>144</v>
      </c>
      <c r="BE83" s="35">
        <v>0</v>
      </c>
      <c r="BF83" s="35">
        <f>83</f>
        <v>83</v>
      </c>
      <c r="BH83" s="64">
        <f>H83*AO83</f>
        <v>0</v>
      </c>
      <c r="BI83" s="64">
        <f>H83*AP83</f>
        <v>288</v>
      </c>
      <c r="BJ83" s="64">
        <f>H83*I83</f>
        <v>288</v>
      </c>
      <c r="BK83" s="64" t="s">
        <v>1086</v>
      </c>
      <c r="BL83" s="35">
        <v>725</v>
      </c>
    </row>
    <row r="84" spans="1:64" x14ac:dyDescent="0.2">
      <c r="A84" s="19"/>
      <c r="C84" s="59" t="s">
        <v>521</v>
      </c>
      <c r="D84" s="180" t="s">
        <v>879</v>
      </c>
      <c r="E84" s="181"/>
      <c r="F84" s="181"/>
      <c r="G84" s="181"/>
      <c r="H84" s="181"/>
      <c r="I84" s="182"/>
      <c r="J84" s="181"/>
      <c r="K84" s="181"/>
      <c r="L84" s="181"/>
      <c r="M84" s="183"/>
      <c r="N84" s="19"/>
    </row>
    <row r="85" spans="1:64" x14ac:dyDescent="0.2">
      <c r="A85" s="49" t="s">
        <v>176</v>
      </c>
      <c r="B85" s="57" t="s">
        <v>63</v>
      </c>
      <c r="C85" s="57" t="s">
        <v>557</v>
      </c>
      <c r="D85" s="186" t="s">
        <v>880</v>
      </c>
      <c r="E85" s="187"/>
      <c r="F85" s="187"/>
      <c r="G85" s="57" t="s">
        <v>1004</v>
      </c>
      <c r="H85" s="65">
        <v>2</v>
      </c>
      <c r="I85" s="73">
        <v>466</v>
      </c>
      <c r="J85" s="65">
        <f>H85*AO85</f>
        <v>932</v>
      </c>
      <c r="K85" s="65">
        <f>H85*AP85</f>
        <v>0</v>
      </c>
      <c r="L85" s="65">
        <f>H85*I85</f>
        <v>932</v>
      </c>
      <c r="M85" s="81"/>
      <c r="N85" s="19"/>
      <c r="Z85" s="35">
        <f>IF(AQ85="5",BJ85,0)</f>
        <v>0</v>
      </c>
      <c r="AB85" s="35">
        <f>IF(AQ85="1",BH85,0)</f>
        <v>0</v>
      </c>
      <c r="AC85" s="35">
        <f>IF(AQ85="1",BI85,0)</f>
        <v>0</v>
      </c>
      <c r="AD85" s="35">
        <f>IF(AQ85="7",BH85,0)</f>
        <v>932</v>
      </c>
      <c r="AE85" s="35">
        <f>IF(AQ85="7",BI85,0)</f>
        <v>0</v>
      </c>
      <c r="AF85" s="35">
        <f>IF(AQ85="2",BH85,0)</f>
        <v>0</v>
      </c>
      <c r="AG85" s="35">
        <f>IF(AQ85="2",BI85,0)</f>
        <v>0</v>
      </c>
      <c r="AH85" s="35">
        <f>IF(AQ85="0",BJ85,0)</f>
        <v>0</v>
      </c>
      <c r="AI85" s="83" t="s">
        <v>63</v>
      </c>
      <c r="AJ85" s="65">
        <f>IF(AN85=0,L85,0)</f>
        <v>0</v>
      </c>
      <c r="AK85" s="65">
        <f>IF(AN85=15,L85,0)</f>
        <v>0</v>
      </c>
      <c r="AL85" s="65">
        <f>IF(AN85=21,L85,0)</f>
        <v>932</v>
      </c>
      <c r="AN85" s="35">
        <v>21</v>
      </c>
      <c r="AO85" s="35">
        <f>I85*1</f>
        <v>466</v>
      </c>
      <c r="AP85" s="35">
        <f>I85*(1-1)</f>
        <v>0</v>
      </c>
      <c r="AQ85" s="85" t="s">
        <v>144</v>
      </c>
      <c r="AV85" s="35">
        <f>AW85+AX85</f>
        <v>932</v>
      </c>
      <c r="AW85" s="35">
        <f>H85*AO85</f>
        <v>932</v>
      </c>
      <c r="AX85" s="35">
        <f>H85*AP85</f>
        <v>0</v>
      </c>
      <c r="AY85" s="86" t="s">
        <v>1044</v>
      </c>
      <c r="AZ85" s="86" t="s">
        <v>1056</v>
      </c>
      <c r="BA85" s="83" t="s">
        <v>1077</v>
      </c>
      <c r="BC85" s="35">
        <f>AW85+AX85</f>
        <v>932</v>
      </c>
      <c r="BD85" s="35">
        <f>I85/(100-BE85)*100</f>
        <v>466</v>
      </c>
      <c r="BE85" s="35">
        <v>0</v>
      </c>
      <c r="BF85" s="35">
        <f>85</f>
        <v>85</v>
      </c>
      <c r="BH85" s="65">
        <f>H85*AO85</f>
        <v>932</v>
      </c>
      <c r="BI85" s="65">
        <f>H85*AP85</f>
        <v>0</v>
      </c>
      <c r="BJ85" s="65">
        <f>H85*I85</f>
        <v>932</v>
      </c>
      <c r="BK85" s="65" t="s">
        <v>1001</v>
      </c>
      <c r="BL85" s="35">
        <v>725</v>
      </c>
    </row>
    <row r="86" spans="1:64" x14ac:dyDescent="0.2">
      <c r="A86" s="19"/>
      <c r="C86" s="59" t="s">
        <v>521</v>
      </c>
      <c r="D86" s="180" t="s">
        <v>880</v>
      </c>
      <c r="E86" s="181"/>
      <c r="F86" s="181"/>
      <c r="G86" s="181"/>
      <c r="H86" s="181"/>
      <c r="I86" s="182"/>
      <c r="J86" s="181"/>
      <c r="K86" s="181"/>
      <c r="L86" s="181"/>
      <c r="M86" s="183"/>
      <c r="N86" s="19"/>
    </row>
    <row r="87" spans="1:64" x14ac:dyDescent="0.2">
      <c r="A87" s="47" t="s">
        <v>177</v>
      </c>
      <c r="B87" s="55" t="s">
        <v>63</v>
      </c>
      <c r="C87" s="55" t="s">
        <v>558</v>
      </c>
      <c r="D87" s="178" t="s">
        <v>881</v>
      </c>
      <c r="E87" s="179"/>
      <c r="F87" s="179"/>
      <c r="G87" s="55" t="s">
        <v>1002</v>
      </c>
      <c r="H87" s="64">
        <v>5</v>
      </c>
      <c r="I87" s="71">
        <v>504</v>
      </c>
      <c r="J87" s="64">
        <f>H87*AO87</f>
        <v>0</v>
      </c>
      <c r="K87" s="64">
        <f>H87*AP87</f>
        <v>2520</v>
      </c>
      <c r="L87" s="64">
        <f>H87*I87</f>
        <v>2520</v>
      </c>
      <c r="M87" s="79"/>
      <c r="N87" s="19"/>
      <c r="Z87" s="35">
        <f>IF(AQ87="5",BJ87,0)</f>
        <v>0</v>
      </c>
      <c r="AB87" s="35">
        <f>IF(AQ87="1",BH87,0)</f>
        <v>0</v>
      </c>
      <c r="AC87" s="35">
        <f>IF(AQ87="1",BI87,0)</f>
        <v>0</v>
      </c>
      <c r="AD87" s="35">
        <f>IF(AQ87="7",BH87,0)</f>
        <v>0</v>
      </c>
      <c r="AE87" s="35">
        <f>IF(AQ87="7",BI87,0)</f>
        <v>2520</v>
      </c>
      <c r="AF87" s="35">
        <f>IF(AQ87="2",BH87,0)</f>
        <v>0</v>
      </c>
      <c r="AG87" s="35">
        <f>IF(AQ87="2",BI87,0)</f>
        <v>0</v>
      </c>
      <c r="AH87" s="35">
        <f>IF(AQ87="0",BJ87,0)</f>
        <v>0</v>
      </c>
      <c r="AI87" s="83" t="s">
        <v>63</v>
      </c>
      <c r="AJ87" s="64">
        <f>IF(AN87=0,L87,0)</f>
        <v>0</v>
      </c>
      <c r="AK87" s="64">
        <f>IF(AN87=15,L87,0)</f>
        <v>0</v>
      </c>
      <c r="AL87" s="64">
        <f>IF(AN87=21,L87,0)</f>
        <v>2520</v>
      </c>
      <c r="AN87" s="35">
        <v>21</v>
      </c>
      <c r="AO87" s="35">
        <f>I87*0</f>
        <v>0</v>
      </c>
      <c r="AP87" s="35">
        <f>I87*(1-0)</f>
        <v>504</v>
      </c>
      <c r="AQ87" s="84" t="s">
        <v>144</v>
      </c>
      <c r="AV87" s="35">
        <f>AW87+AX87</f>
        <v>2520</v>
      </c>
      <c r="AW87" s="35">
        <f>H87*AO87</f>
        <v>0</v>
      </c>
      <c r="AX87" s="35">
        <f>H87*AP87</f>
        <v>2520</v>
      </c>
      <c r="AY87" s="86" t="s">
        <v>1044</v>
      </c>
      <c r="AZ87" s="86" t="s">
        <v>1056</v>
      </c>
      <c r="BA87" s="83" t="s">
        <v>1077</v>
      </c>
      <c r="BC87" s="35">
        <f>AW87+AX87</f>
        <v>2520</v>
      </c>
      <c r="BD87" s="35">
        <f>I87/(100-BE87)*100</f>
        <v>504</v>
      </c>
      <c r="BE87" s="35">
        <v>0</v>
      </c>
      <c r="BF87" s="35">
        <f>87</f>
        <v>87</v>
      </c>
      <c r="BH87" s="64">
        <f>H87*AO87</f>
        <v>0</v>
      </c>
      <c r="BI87" s="64">
        <f>H87*AP87</f>
        <v>2520</v>
      </c>
      <c r="BJ87" s="64">
        <f>H87*I87</f>
        <v>2520</v>
      </c>
      <c r="BK87" s="64" t="s">
        <v>1086</v>
      </c>
      <c r="BL87" s="35">
        <v>725</v>
      </c>
    </row>
    <row r="88" spans="1:64" x14ac:dyDescent="0.2">
      <c r="A88" s="19"/>
      <c r="C88" s="59" t="s">
        <v>521</v>
      </c>
      <c r="D88" s="180" t="s">
        <v>881</v>
      </c>
      <c r="E88" s="181"/>
      <c r="F88" s="181"/>
      <c r="G88" s="181"/>
      <c r="H88" s="181"/>
      <c r="I88" s="182"/>
      <c r="J88" s="181"/>
      <c r="K88" s="181"/>
      <c r="L88" s="181"/>
      <c r="M88" s="183"/>
      <c r="N88" s="19"/>
    </row>
    <row r="89" spans="1:64" x14ac:dyDescent="0.2">
      <c r="A89" s="47" t="s">
        <v>178</v>
      </c>
      <c r="B89" s="55" t="s">
        <v>63</v>
      </c>
      <c r="C89" s="55" t="s">
        <v>559</v>
      </c>
      <c r="D89" s="178" t="s">
        <v>882</v>
      </c>
      <c r="E89" s="179"/>
      <c r="F89" s="179"/>
      <c r="G89" s="55" t="s">
        <v>1000</v>
      </c>
      <c r="H89" s="64">
        <v>16.940000000000001</v>
      </c>
      <c r="I89" s="71">
        <v>1</v>
      </c>
      <c r="J89" s="64">
        <f>H89*AO89</f>
        <v>0</v>
      </c>
      <c r="K89" s="64">
        <f>H89*AP89</f>
        <v>16.940000000000001</v>
      </c>
      <c r="L89" s="64">
        <f>H89*I89</f>
        <v>16.940000000000001</v>
      </c>
      <c r="M89" s="79" t="s">
        <v>1020</v>
      </c>
      <c r="N89" s="19"/>
      <c r="Z89" s="35">
        <f>IF(AQ89="5",BJ89,0)</f>
        <v>0</v>
      </c>
      <c r="AB89" s="35">
        <f>IF(AQ89="1",BH89,0)</f>
        <v>0</v>
      </c>
      <c r="AC89" s="35">
        <f>IF(AQ89="1",BI89,0)</f>
        <v>0</v>
      </c>
      <c r="AD89" s="35">
        <f>IF(AQ89="7",BH89,0)</f>
        <v>0</v>
      </c>
      <c r="AE89" s="35">
        <f>IF(AQ89="7",BI89,0)</f>
        <v>16.940000000000001</v>
      </c>
      <c r="AF89" s="35">
        <f>IF(AQ89="2",BH89,0)</f>
        <v>0</v>
      </c>
      <c r="AG89" s="35">
        <f>IF(AQ89="2",BI89,0)</f>
        <v>0</v>
      </c>
      <c r="AH89" s="35">
        <f>IF(AQ89="0",BJ89,0)</f>
        <v>0</v>
      </c>
      <c r="AI89" s="83" t="s">
        <v>63</v>
      </c>
      <c r="AJ89" s="64">
        <f>IF(AN89=0,L89,0)</f>
        <v>0</v>
      </c>
      <c r="AK89" s="64">
        <f>IF(AN89=15,L89,0)</f>
        <v>0</v>
      </c>
      <c r="AL89" s="64">
        <f>IF(AN89=21,L89,0)</f>
        <v>16.940000000000001</v>
      </c>
      <c r="AN89" s="35">
        <v>21</v>
      </c>
      <c r="AO89" s="35">
        <f>I89*0</f>
        <v>0</v>
      </c>
      <c r="AP89" s="35">
        <f>I89*(1-0)</f>
        <v>1</v>
      </c>
      <c r="AQ89" s="84" t="s">
        <v>144</v>
      </c>
      <c r="AV89" s="35">
        <f>AW89+AX89</f>
        <v>16.940000000000001</v>
      </c>
      <c r="AW89" s="35">
        <f>H89*AO89</f>
        <v>0</v>
      </c>
      <c r="AX89" s="35">
        <f>H89*AP89</f>
        <v>16.940000000000001</v>
      </c>
      <c r="AY89" s="86" t="s">
        <v>1044</v>
      </c>
      <c r="AZ89" s="86" t="s">
        <v>1056</v>
      </c>
      <c r="BA89" s="83" t="s">
        <v>1077</v>
      </c>
      <c r="BC89" s="35">
        <f>AW89+AX89</f>
        <v>16.940000000000001</v>
      </c>
      <c r="BD89" s="35">
        <f>I89/(100-BE89)*100</f>
        <v>1</v>
      </c>
      <c r="BE89" s="35">
        <v>0</v>
      </c>
      <c r="BF89" s="35">
        <f>89</f>
        <v>89</v>
      </c>
      <c r="BH89" s="64">
        <f>H89*AO89</f>
        <v>0</v>
      </c>
      <c r="BI89" s="64">
        <f>H89*AP89</f>
        <v>16.940000000000001</v>
      </c>
      <c r="BJ89" s="64">
        <f>H89*I89</f>
        <v>16.940000000000001</v>
      </c>
      <c r="BK89" s="64" t="s">
        <v>1086</v>
      </c>
      <c r="BL89" s="35">
        <v>725</v>
      </c>
    </row>
    <row r="90" spans="1:64" x14ac:dyDescent="0.2">
      <c r="A90" s="19"/>
      <c r="C90" s="59" t="s">
        <v>521</v>
      </c>
      <c r="D90" s="180" t="s">
        <v>883</v>
      </c>
      <c r="E90" s="181"/>
      <c r="F90" s="181"/>
      <c r="G90" s="181"/>
      <c r="H90" s="181"/>
      <c r="I90" s="182"/>
      <c r="J90" s="181"/>
      <c r="K90" s="181"/>
      <c r="L90" s="181"/>
      <c r="M90" s="183"/>
      <c r="N90" s="19"/>
    </row>
    <row r="91" spans="1:64" x14ac:dyDescent="0.2">
      <c r="A91" s="49" t="s">
        <v>179</v>
      </c>
      <c r="B91" s="57" t="s">
        <v>63</v>
      </c>
      <c r="C91" s="57" t="s">
        <v>560</v>
      </c>
      <c r="D91" s="186" t="s">
        <v>884</v>
      </c>
      <c r="E91" s="187"/>
      <c r="F91" s="187"/>
      <c r="G91" s="57" t="s">
        <v>1001</v>
      </c>
      <c r="H91" s="65">
        <v>5</v>
      </c>
      <c r="I91" s="73">
        <v>50</v>
      </c>
      <c r="J91" s="65">
        <f>H91*AO91</f>
        <v>250</v>
      </c>
      <c r="K91" s="65">
        <f>H91*AP91</f>
        <v>0</v>
      </c>
      <c r="L91" s="65">
        <f>H91*I91</f>
        <v>250</v>
      </c>
      <c r="M91" s="81"/>
      <c r="N91" s="19"/>
      <c r="Z91" s="35">
        <f>IF(AQ91="5",BJ91,0)</f>
        <v>0</v>
      </c>
      <c r="AB91" s="35">
        <f>IF(AQ91="1",BH91,0)</f>
        <v>0</v>
      </c>
      <c r="AC91" s="35">
        <f>IF(AQ91="1",BI91,0)</f>
        <v>0</v>
      </c>
      <c r="AD91" s="35">
        <f>IF(AQ91="7",BH91,0)</f>
        <v>250</v>
      </c>
      <c r="AE91" s="35">
        <f>IF(AQ91="7",BI91,0)</f>
        <v>0</v>
      </c>
      <c r="AF91" s="35">
        <f>IF(AQ91="2",BH91,0)</f>
        <v>0</v>
      </c>
      <c r="AG91" s="35">
        <f>IF(AQ91="2",BI91,0)</f>
        <v>0</v>
      </c>
      <c r="AH91" s="35">
        <f>IF(AQ91="0",BJ91,0)</f>
        <v>0</v>
      </c>
      <c r="AI91" s="83" t="s">
        <v>63</v>
      </c>
      <c r="AJ91" s="65">
        <f>IF(AN91=0,L91,0)</f>
        <v>0</v>
      </c>
      <c r="AK91" s="65">
        <f>IF(AN91=15,L91,0)</f>
        <v>0</v>
      </c>
      <c r="AL91" s="65">
        <f>IF(AN91=21,L91,0)</f>
        <v>250</v>
      </c>
      <c r="AN91" s="35">
        <v>21</v>
      </c>
      <c r="AO91" s="35">
        <f>I91*1</f>
        <v>50</v>
      </c>
      <c r="AP91" s="35">
        <f>I91*(1-1)</f>
        <v>0</v>
      </c>
      <c r="AQ91" s="85" t="s">
        <v>144</v>
      </c>
      <c r="AV91" s="35">
        <f>AW91+AX91</f>
        <v>250</v>
      </c>
      <c r="AW91" s="35">
        <f>H91*AO91</f>
        <v>250</v>
      </c>
      <c r="AX91" s="35">
        <f>H91*AP91</f>
        <v>0</v>
      </c>
      <c r="AY91" s="86" t="s">
        <v>1044</v>
      </c>
      <c r="AZ91" s="86" t="s">
        <v>1056</v>
      </c>
      <c r="BA91" s="83" t="s">
        <v>1077</v>
      </c>
      <c r="BC91" s="35">
        <f>AW91+AX91</f>
        <v>250</v>
      </c>
      <c r="BD91" s="35">
        <f>I91/(100-BE91)*100</f>
        <v>50</v>
      </c>
      <c r="BE91" s="35">
        <v>0</v>
      </c>
      <c r="BF91" s="35">
        <f>91</f>
        <v>91</v>
      </c>
      <c r="BH91" s="65">
        <f>H91*AO91</f>
        <v>250</v>
      </c>
      <c r="BI91" s="65">
        <f>H91*AP91</f>
        <v>0</v>
      </c>
      <c r="BJ91" s="65">
        <f>H91*I91</f>
        <v>250</v>
      </c>
      <c r="BK91" s="65" t="s">
        <v>1001</v>
      </c>
      <c r="BL91" s="35">
        <v>725</v>
      </c>
    </row>
    <row r="92" spans="1:64" x14ac:dyDescent="0.2">
      <c r="A92" s="19"/>
      <c r="C92" s="59" t="s">
        <v>521</v>
      </c>
      <c r="D92" s="180" t="s">
        <v>884</v>
      </c>
      <c r="E92" s="181"/>
      <c r="F92" s="181"/>
      <c r="G92" s="181"/>
      <c r="H92" s="181"/>
      <c r="I92" s="182"/>
      <c r="J92" s="181"/>
      <c r="K92" s="181"/>
      <c r="L92" s="181"/>
      <c r="M92" s="183"/>
      <c r="N92" s="19"/>
    </row>
    <row r="93" spans="1:64" x14ac:dyDescent="0.2">
      <c r="A93" s="46"/>
      <c r="B93" s="54" t="s">
        <v>63</v>
      </c>
      <c r="C93" s="54" t="s">
        <v>116</v>
      </c>
      <c r="D93" s="176" t="s">
        <v>135</v>
      </c>
      <c r="E93" s="177"/>
      <c r="F93" s="177"/>
      <c r="G93" s="61" t="s">
        <v>60</v>
      </c>
      <c r="H93" s="61" t="s">
        <v>60</v>
      </c>
      <c r="I93" s="70" t="s">
        <v>60</v>
      </c>
      <c r="J93" s="89">
        <f>SUM(J94:J116)</f>
        <v>172565</v>
      </c>
      <c r="K93" s="89">
        <f>SUM(K94:K116)</f>
        <v>3846.92</v>
      </c>
      <c r="L93" s="89">
        <f>SUM(L94:L116)</f>
        <v>176411.92</v>
      </c>
      <c r="M93" s="78"/>
      <c r="N93" s="19"/>
      <c r="AI93" s="83" t="s">
        <v>63</v>
      </c>
      <c r="AS93" s="89">
        <f>SUM(AJ94:AJ116)</f>
        <v>0</v>
      </c>
      <c r="AT93" s="89">
        <f>SUM(AK94:AK116)</f>
        <v>0</v>
      </c>
      <c r="AU93" s="89">
        <f>SUM(AL94:AL116)</f>
        <v>176411.92</v>
      </c>
    </row>
    <row r="94" spans="1:64" x14ac:dyDescent="0.2">
      <c r="A94" s="47" t="s">
        <v>180</v>
      </c>
      <c r="B94" s="55" t="s">
        <v>63</v>
      </c>
      <c r="C94" s="55" t="s">
        <v>561</v>
      </c>
      <c r="D94" s="178" t="s">
        <v>885</v>
      </c>
      <c r="E94" s="179"/>
      <c r="F94" s="179"/>
      <c r="G94" s="55" t="s">
        <v>1002</v>
      </c>
      <c r="H94" s="64">
        <v>1</v>
      </c>
      <c r="I94" s="71">
        <v>504</v>
      </c>
      <c r="J94" s="64">
        <f>H94*AO94</f>
        <v>0</v>
      </c>
      <c r="K94" s="64">
        <f>H94*AP94</f>
        <v>504</v>
      </c>
      <c r="L94" s="64">
        <f>H94*I94</f>
        <v>504</v>
      </c>
      <c r="M94" s="79"/>
      <c r="N94" s="19"/>
      <c r="Z94" s="35">
        <f>IF(AQ94="5",BJ94,0)</f>
        <v>0</v>
      </c>
      <c r="AB94" s="35">
        <f>IF(AQ94="1",BH94,0)</f>
        <v>0</v>
      </c>
      <c r="AC94" s="35">
        <f>IF(AQ94="1",BI94,0)</f>
        <v>0</v>
      </c>
      <c r="AD94" s="35">
        <f>IF(AQ94="7",BH94,0)</f>
        <v>0</v>
      </c>
      <c r="AE94" s="35">
        <f>IF(AQ94="7",BI94,0)</f>
        <v>504</v>
      </c>
      <c r="AF94" s="35">
        <f>IF(AQ94="2",BH94,0)</f>
        <v>0</v>
      </c>
      <c r="AG94" s="35">
        <f>IF(AQ94="2",BI94,0)</f>
        <v>0</v>
      </c>
      <c r="AH94" s="35">
        <f>IF(AQ94="0",BJ94,0)</f>
        <v>0</v>
      </c>
      <c r="AI94" s="83" t="s">
        <v>63</v>
      </c>
      <c r="AJ94" s="64">
        <f>IF(AN94=0,L94,0)</f>
        <v>0</v>
      </c>
      <c r="AK94" s="64">
        <f>IF(AN94=15,L94,0)</f>
        <v>0</v>
      </c>
      <c r="AL94" s="64">
        <f>IF(AN94=21,L94,0)</f>
        <v>504</v>
      </c>
      <c r="AN94" s="35">
        <v>21</v>
      </c>
      <c r="AO94" s="35">
        <f>I94*0</f>
        <v>0</v>
      </c>
      <c r="AP94" s="35">
        <f>I94*(1-0)</f>
        <v>504</v>
      </c>
      <c r="AQ94" s="84" t="s">
        <v>144</v>
      </c>
      <c r="AV94" s="35">
        <f>AW94+AX94</f>
        <v>504</v>
      </c>
      <c r="AW94" s="35">
        <f>H94*AO94</f>
        <v>0</v>
      </c>
      <c r="AX94" s="35">
        <f>H94*AP94</f>
        <v>504</v>
      </c>
      <c r="AY94" s="86" t="s">
        <v>1045</v>
      </c>
      <c r="AZ94" s="86" t="s">
        <v>1057</v>
      </c>
      <c r="BA94" s="83" t="s">
        <v>1077</v>
      </c>
      <c r="BC94" s="35">
        <f>AW94+AX94</f>
        <v>504</v>
      </c>
      <c r="BD94" s="35">
        <f>I94/(100-BE94)*100</f>
        <v>504</v>
      </c>
      <c r="BE94" s="35">
        <v>0</v>
      </c>
      <c r="BF94" s="35">
        <f>94</f>
        <v>94</v>
      </c>
      <c r="BH94" s="64">
        <f>H94*AO94</f>
        <v>0</v>
      </c>
      <c r="BI94" s="64">
        <f>H94*AP94</f>
        <v>504</v>
      </c>
      <c r="BJ94" s="64">
        <f>H94*I94</f>
        <v>504</v>
      </c>
      <c r="BK94" s="64" t="s">
        <v>1086</v>
      </c>
      <c r="BL94" s="35">
        <v>741</v>
      </c>
    </row>
    <row r="95" spans="1:64" x14ac:dyDescent="0.2">
      <c r="A95" s="19"/>
      <c r="C95" s="59" t="s">
        <v>521</v>
      </c>
      <c r="D95" s="180" t="s">
        <v>885</v>
      </c>
      <c r="E95" s="181"/>
      <c r="F95" s="181"/>
      <c r="G95" s="181"/>
      <c r="H95" s="181"/>
      <c r="I95" s="182"/>
      <c r="J95" s="181"/>
      <c r="K95" s="181"/>
      <c r="L95" s="181"/>
      <c r="M95" s="183"/>
      <c r="N95" s="19"/>
    </row>
    <row r="96" spans="1:64" x14ac:dyDescent="0.2">
      <c r="A96" s="49" t="s">
        <v>181</v>
      </c>
      <c r="B96" s="57" t="s">
        <v>63</v>
      </c>
      <c r="C96" s="57" t="s">
        <v>562</v>
      </c>
      <c r="D96" s="186" t="s">
        <v>886</v>
      </c>
      <c r="E96" s="187"/>
      <c r="F96" s="187"/>
      <c r="G96" s="57" t="s">
        <v>1004</v>
      </c>
      <c r="H96" s="65">
        <v>1</v>
      </c>
      <c r="I96" s="73">
        <v>5760</v>
      </c>
      <c r="J96" s="65">
        <f>H96*AO96</f>
        <v>5760</v>
      </c>
      <c r="K96" s="65">
        <f>H96*AP96</f>
        <v>0</v>
      </c>
      <c r="L96" s="65">
        <f>H96*I96</f>
        <v>5760</v>
      </c>
      <c r="M96" s="81"/>
      <c r="N96" s="19"/>
      <c r="Z96" s="35">
        <f>IF(AQ96="5",BJ96,0)</f>
        <v>0</v>
      </c>
      <c r="AB96" s="35">
        <f>IF(AQ96="1",BH96,0)</f>
        <v>0</v>
      </c>
      <c r="AC96" s="35">
        <f>IF(AQ96="1",BI96,0)</f>
        <v>0</v>
      </c>
      <c r="AD96" s="35">
        <f>IF(AQ96="7",BH96,0)</f>
        <v>5760</v>
      </c>
      <c r="AE96" s="35">
        <f>IF(AQ96="7",BI96,0)</f>
        <v>0</v>
      </c>
      <c r="AF96" s="35">
        <f>IF(AQ96="2",BH96,0)</f>
        <v>0</v>
      </c>
      <c r="AG96" s="35">
        <f>IF(AQ96="2",BI96,0)</f>
        <v>0</v>
      </c>
      <c r="AH96" s="35">
        <f>IF(AQ96="0",BJ96,0)</f>
        <v>0</v>
      </c>
      <c r="AI96" s="83" t="s">
        <v>63</v>
      </c>
      <c r="AJ96" s="65">
        <f>IF(AN96=0,L96,0)</f>
        <v>0</v>
      </c>
      <c r="AK96" s="65">
        <f>IF(AN96=15,L96,0)</f>
        <v>0</v>
      </c>
      <c r="AL96" s="65">
        <f>IF(AN96=21,L96,0)</f>
        <v>5760</v>
      </c>
      <c r="AN96" s="35">
        <v>21</v>
      </c>
      <c r="AO96" s="35">
        <f>I96*1</f>
        <v>5760</v>
      </c>
      <c r="AP96" s="35">
        <f>I96*(1-1)</f>
        <v>0</v>
      </c>
      <c r="AQ96" s="85" t="s">
        <v>144</v>
      </c>
      <c r="AV96" s="35">
        <f>AW96+AX96</f>
        <v>5760</v>
      </c>
      <c r="AW96" s="35">
        <f>H96*AO96</f>
        <v>5760</v>
      </c>
      <c r="AX96" s="35">
        <f>H96*AP96</f>
        <v>0</v>
      </c>
      <c r="AY96" s="86" t="s">
        <v>1045</v>
      </c>
      <c r="AZ96" s="86" t="s">
        <v>1057</v>
      </c>
      <c r="BA96" s="83" t="s">
        <v>1077</v>
      </c>
      <c r="BC96" s="35">
        <f>AW96+AX96</f>
        <v>5760</v>
      </c>
      <c r="BD96" s="35">
        <f>I96/(100-BE96)*100</f>
        <v>5760</v>
      </c>
      <c r="BE96" s="35">
        <v>0</v>
      </c>
      <c r="BF96" s="35">
        <f>96</f>
        <v>96</v>
      </c>
      <c r="BH96" s="65">
        <f>H96*AO96</f>
        <v>5760</v>
      </c>
      <c r="BI96" s="65">
        <f>H96*AP96</f>
        <v>0</v>
      </c>
      <c r="BJ96" s="65">
        <f>H96*I96</f>
        <v>5760</v>
      </c>
      <c r="BK96" s="65" t="s">
        <v>1001</v>
      </c>
      <c r="BL96" s="35">
        <v>741</v>
      </c>
    </row>
    <row r="97" spans="1:64" x14ac:dyDescent="0.2">
      <c r="A97" s="19"/>
      <c r="C97" s="59" t="s">
        <v>521</v>
      </c>
      <c r="D97" s="180" t="s">
        <v>886</v>
      </c>
      <c r="E97" s="181"/>
      <c r="F97" s="181"/>
      <c r="G97" s="181"/>
      <c r="H97" s="181"/>
      <c r="I97" s="182"/>
      <c r="J97" s="181"/>
      <c r="K97" s="181"/>
      <c r="L97" s="181"/>
      <c r="M97" s="183"/>
      <c r="N97" s="19"/>
    </row>
    <row r="98" spans="1:64" x14ac:dyDescent="0.2">
      <c r="A98" s="47" t="s">
        <v>182</v>
      </c>
      <c r="B98" s="55" t="s">
        <v>63</v>
      </c>
      <c r="C98" s="55" t="s">
        <v>563</v>
      </c>
      <c r="D98" s="178" t="s">
        <v>887</v>
      </c>
      <c r="E98" s="179"/>
      <c r="F98" s="179"/>
      <c r="G98" s="55" t="s">
        <v>1002</v>
      </c>
      <c r="H98" s="64">
        <v>1</v>
      </c>
      <c r="I98" s="71">
        <v>396</v>
      </c>
      <c r="J98" s="64">
        <f>H98*AO98</f>
        <v>0</v>
      </c>
      <c r="K98" s="64">
        <f>H98*AP98</f>
        <v>396</v>
      </c>
      <c r="L98" s="64">
        <f>H98*I98</f>
        <v>396</v>
      </c>
      <c r="M98" s="79"/>
      <c r="N98" s="19"/>
      <c r="Z98" s="35">
        <f>IF(AQ98="5",BJ98,0)</f>
        <v>0</v>
      </c>
      <c r="AB98" s="35">
        <f>IF(AQ98="1",BH98,0)</f>
        <v>0</v>
      </c>
      <c r="AC98" s="35">
        <f>IF(AQ98="1",BI98,0)</f>
        <v>0</v>
      </c>
      <c r="AD98" s="35">
        <f>IF(AQ98="7",BH98,0)</f>
        <v>0</v>
      </c>
      <c r="AE98" s="35">
        <f>IF(AQ98="7",BI98,0)</f>
        <v>396</v>
      </c>
      <c r="AF98" s="35">
        <f>IF(AQ98="2",BH98,0)</f>
        <v>0</v>
      </c>
      <c r="AG98" s="35">
        <f>IF(AQ98="2",BI98,0)</f>
        <v>0</v>
      </c>
      <c r="AH98" s="35">
        <f>IF(AQ98="0",BJ98,0)</f>
        <v>0</v>
      </c>
      <c r="AI98" s="83" t="s">
        <v>63</v>
      </c>
      <c r="AJ98" s="64">
        <f>IF(AN98=0,L98,0)</f>
        <v>0</v>
      </c>
      <c r="AK98" s="64">
        <f>IF(AN98=15,L98,0)</f>
        <v>0</v>
      </c>
      <c r="AL98" s="64">
        <f>IF(AN98=21,L98,0)</f>
        <v>396</v>
      </c>
      <c r="AN98" s="35">
        <v>21</v>
      </c>
      <c r="AO98" s="35">
        <f>I98*0</f>
        <v>0</v>
      </c>
      <c r="AP98" s="35">
        <f>I98*(1-0)</f>
        <v>396</v>
      </c>
      <c r="AQ98" s="84" t="s">
        <v>144</v>
      </c>
      <c r="AV98" s="35">
        <f>AW98+AX98</f>
        <v>396</v>
      </c>
      <c r="AW98" s="35">
        <f>H98*AO98</f>
        <v>0</v>
      </c>
      <c r="AX98" s="35">
        <f>H98*AP98</f>
        <v>396</v>
      </c>
      <c r="AY98" s="86" t="s">
        <v>1045</v>
      </c>
      <c r="AZ98" s="86" t="s">
        <v>1057</v>
      </c>
      <c r="BA98" s="83" t="s">
        <v>1077</v>
      </c>
      <c r="BC98" s="35">
        <f>AW98+AX98</f>
        <v>396</v>
      </c>
      <c r="BD98" s="35">
        <f>I98/(100-BE98)*100</f>
        <v>396</v>
      </c>
      <c r="BE98" s="35">
        <v>0</v>
      </c>
      <c r="BF98" s="35">
        <f>98</f>
        <v>98</v>
      </c>
      <c r="BH98" s="64">
        <f>H98*AO98</f>
        <v>0</v>
      </c>
      <c r="BI98" s="64">
        <f>H98*AP98</f>
        <v>396</v>
      </c>
      <c r="BJ98" s="64">
        <f>H98*I98</f>
        <v>396</v>
      </c>
      <c r="BK98" s="64" t="s">
        <v>1086</v>
      </c>
      <c r="BL98" s="35">
        <v>741</v>
      </c>
    </row>
    <row r="99" spans="1:64" x14ac:dyDescent="0.2">
      <c r="A99" s="19"/>
      <c r="C99" s="59" t="s">
        <v>521</v>
      </c>
      <c r="D99" s="180" t="s">
        <v>887</v>
      </c>
      <c r="E99" s="181"/>
      <c r="F99" s="181"/>
      <c r="G99" s="181"/>
      <c r="H99" s="181"/>
      <c r="I99" s="182"/>
      <c r="J99" s="181"/>
      <c r="K99" s="181"/>
      <c r="L99" s="181"/>
      <c r="M99" s="183"/>
      <c r="N99" s="19"/>
    </row>
    <row r="100" spans="1:64" x14ac:dyDescent="0.2">
      <c r="A100" s="49" t="s">
        <v>183</v>
      </c>
      <c r="B100" s="57" t="s">
        <v>63</v>
      </c>
      <c r="C100" s="57" t="s">
        <v>564</v>
      </c>
      <c r="D100" s="186" t="s">
        <v>888</v>
      </c>
      <c r="E100" s="187"/>
      <c r="F100" s="187"/>
      <c r="G100" s="57" t="s">
        <v>1001</v>
      </c>
      <c r="H100" s="65">
        <v>5</v>
      </c>
      <c r="I100" s="73">
        <v>7</v>
      </c>
      <c r="J100" s="65">
        <f>H100*AO100</f>
        <v>35</v>
      </c>
      <c r="K100" s="65">
        <f>H100*AP100</f>
        <v>0</v>
      </c>
      <c r="L100" s="65">
        <f>H100*I100</f>
        <v>35</v>
      </c>
      <c r="M100" s="81"/>
      <c r="N100" s="19"/>
      <c r="Z100" s="35">
        <f>IF(AQ100="5",BJ100,0)</f>
        <v>0</v>
      </c>
      <c r="AB100" s="35">
        <f>IF(AQ100="1",BH100,0)</f>
        <v>0</v>
      </c>
      <c r="AC100" s="35">
        <f>IF(AQ100="1",BI100,0)</f>
        <v>0</v>
      </c>
      <c r="AD100" s="35">
        <f>IF(AQ100="7",BH100,0)</f>
        <v>35</v>
      </c>
      <c r="AE100" s="35">
        <f>IF(AQ100="7",BI100,0)</f>
        <v>0</v>
      </c>
      <c r="AF100" s="35">
        <f>IF(AQ100="2",BH100,0)</f>
        <v>0</v>
      </c>
      <c r="AG100" s="35">
        <f>IF(AQ100="2",BI100,0)</f>
        <v>0</v>
      </c>
      <c r="AH100" s="35">
        <f>IF(AQ100="0",BJ100,0)</f>
        <v>0</v>
      </c>
      <c r="AI100" s="83" t="s">
        <v>63</v>
      </c>
      <c r="AJ100" s="65">
        <f>IF(AN100=0,L100,0)</f>
        <v>0</v>
      </c>
      <c r="AK100" s="65">
        <f>IF(AN100=15,L100,0)</f>
        <v>0</v>
      </c>
      <c r="AL100" s="65">
        <f>IF(AN100=21,L100,0)</f>
        <v>35</v>
      </c>
      <c r="AN100" s="35">
        <v>21</v>
      </c>
      <c r="AO100" s="35">
        <f>I100*1</f>
        <v>7</v>
      </c>
      <c r="AP100" s="35">
        <f>I100*(1-1)</f>
        <v>0</v>
      </c>
      <c r="AQ100" s="85" t="s">
        <v>144</v>
      </c>
      <c r="AV100" s="35">
        <f>AW100+AX100</f>
        <v>35</v>
      </c>
      <c r="AW100" s="35">
        <f>H100*AO100</f>
        <v>35</v>
      </c>
      <c r="AX100" s="35">
        <f>H100*AP100</f>
        <v>0</v>
      </c>
      <c r="AY100" s="86" t="s">
        <v>1045</v>
      </c>
      <c r="AZ100" s="86" t="s">
        <v>1057</v>
      </c>
      <c r="BA100" s="83" t="s">
        <v>1077</v>
      </c>
      <c r="BC100" s="35">
        <f>AW100+AX100</f>
        <v>35</v>
      </c>
      <c r="BD100" s="35">
        <f>I100/(100-BE100)*100</f>
        <v>7.0000000000000009</v>
      </c>
      <c r="BE100" s="35">
        <v>0</v>
      </c>
      <c r="BF100" s="35">
        <f>100</f>
        <v>100</v>
      </c>
      <c r="BH100" s="65">
        <f>H100*AO100</f>
        <v>35</v>
      </c>
      <c r="BI100" s="65">
        <f>H100*AP100</f>
        <v>0</v>
      </c>
      <c r="BJ100" s="65">
        <f>H100*I100</f>
        <v>35</v>
      </c>
      <c r="BK100" s="65" t="s">
        <v>1001</v>
      </c>
      <c r="BL100" s="35">
        <v>741</v>
      </c>
    </row>
    <row r="101" spans="1:64" x14ac:dyDescent="0.2">
      <c r="A101" s="19"/>
      <c r="C101" s="59" t="s">
        <v>521</v>
      </c>
      <c r="D101" s="180" t="s">
        <v>888</v>
      </c>
      <c r="E101" s="181"/>
      <c r="F101" s="181"/>
      <c r="G101" s="181"/>
      <c r="H101" s="181"/>
      <c r="I101" s="182"/>
      <c r="J101" s="181"/>
      <c r="K101" s="181"/>
      <c r="L101" s="181"/>
      <c r="M101" s="183"/>
      <c r="N101" s="19"/>
    </row>
    <row r="102" spans="1:64" x14ac:dyDescent="0.2">
      <c r="A102" s="49" t="s">
        <v>184</v>
      </c>
      <c r="B102" s="57" t="s">
        <v>63</v>
      </c>
      <c r="C102" s="57" t="s">
        <v>565</v>
      </c>
      <c r="D102" s="186" t="s">
        <v>889</v>
      </c>
      <c r="E102" s="187"/>
      <c r="F102" s="187"/>
      <c r="G102" s="57" t="s">
        <v>1005</v>
      </c>
      <c r="H102" s="65">
        <v>4</v>
      </c>
      <c r="I102" s="73">
        <v>9</v>
      </c>
      <c r="J102" s="65">
        <f>H102*AO102</f>
        <v>36</v>
      </c>
      <c r="K102" s="65">
        <f>H102*AP102</f>
        <v>0</v>
      </c>
      <c r="L102" s="65">
        <f>H102*I102</f>
        <v>36</v>
      </c>
      <c r="M102" s="81"/>
      <c r="N102" s="19"/>
      <c r="Z102" s="35">
        <f>IF(AQ102="5",BJ102,0)</f>
        <v>0</v>
      </c>
      <c r="AB102" s="35">
        <f>IF(AQ102="1",BH102,0)</f>
        <v>0</v>
      </c>
      <c r="AC102" s="35">
        <f>IF(AQ102="1",BI102,0)</f>
        <v>0</v>
      </c>
      <c r="AD102" s="35">
        <f>IF(AQ102="7",BH102,0)</f>
        <v>36</v>
      </c>
      <c r="AE102" s="35">
        <f>IF(AQ102="7",BI102,0)</f>
        <v>0</v>
      </c>
      <c r="AF102" s="35">
        <f>IF(AQ102="2",BH102,0)</f>
        <v>0</v>
      </c>
      <c r="AG102" s="35">
        <f>IF(AQ102="2",BI102,0)</f>
        <v>0</v>
      </c>
      <c r="AH102" s="35">
        <f>IF(AQ102="0",BJ102,0)</f>
        <v>0</v>
      </c>
      <c r="AI102" s="83" t="s">
        <v>63</v>
      </c>
      <c r="AJ102" s="65">
        <f>IF(AN102=0,L102,0)</f>
        <v>0</v>
      </c>
      <c r="AK102" s="65">
        <f>IF(AN102=15,L102,0)</f>
        <v>0</v>
      </c>
      <c r="AL102" s="65">
        <f>IF(AN102=21,L102,0)</f>
        <v>36</v>
      </c>
      <c r="AN102" s="35">
        <v>21</v>
      </c>
      <c r="AO102" s="35">
        <f>I102*1</f>
        <v>9</v>
      </c>
      <c r="AP102" s="35">
        <f>I102*(1-1)</f>
        <v>0</v>
      </c>
      <c r="AQ102" s="85" t="s">
        <v>144</v>
      </c>
      <c r="AV102" s="35">
        <f>AW102+AX102</f>
        <v>36</v>
      </c>
      <c r="AW102" s="35">
        <f>H102*AO102</f>
        <v>36</v>
      </c>
      <c r="AX102" s="35">
        <f>H102*AP102</f>
        <v>0</v>
      </c>
      <c r="AY102" s="86" t="s">
        <v>1045</v>
      </c>
      <c r="AZ102" s="86" t="s">
        <v>1057</v>
      </c>
      <c r="BA102" s="83" t="s">
        <v>1077</v>
      </c>
      <c r="BC102" s="35">
        <f>AW102+AX102</f>
        <v>36</v>
      </c>
      <c r="BD102" s="35">
        <f>I102/(100-BE102)*100</f>
        <v>9</v>
      </c>
      <c r="BE102" s="35">
        <v>0</v>
      </c>
      <c r="BF102" s="35">
        <f>102</f>
        <v>102</v>
      </c>
      <c r="BH102" s="65">
        <f>H102*AO102</f>
        <v>36</v>
      </c>
      <c r="BI102" s="65">
        <f>H102*AP102</f>
        <v>0</v>
      </c>
      <c r="BJ102" s="65">
        <f>H102*I102</f>
        <v>36</v>
      </c>
      <c r="BK102" s="65" t="s">
        <v>1001</v>
      </c>
      <c r="BL102" s="35">
        <v>741</v>
      </c>
    </row>
    <row r="103" spans="1:64" x14ac:dyDescent="0.2">
      <c r="A103" s="19"/>
      <c r="C103" s="59" t="s">
        <v>521</v>
      </c>
      <c r="D103" s="180" t="s">
        <v>889</v>
      </c>
      <c r="E103" s="181"/>
      <c r="F103" s="181"/>
      <c r="G103" s="181"/>
      <c r="H103" s="181"/>
      <c r="I103" s="182"/>
      <c r="J103" s="181"/>
      <c r="K103" s="181"/>
      <c r="L103" s="181"/>
      <c r="M103" s="183"/>
      <c r="N103" s="19"/>
    </row>
    <row r="104" spans="1:64" x14ac:dyDescent="0.2">
      <c r="A104" s="47" t="s">
        <v>185</v>
      </c>
      <c r="B104" s="55" t="s">
        <v>63</v>
      </c>
      <c r="C104" s="55" t="s">
        <v>566</v>
      </c>
      <c r="D104" s="178" t="s">
        <v>890</v>
      </c>
      <c r="E104" s="179"/>
      <c r="F104" s="179"/>
      <c r="G104" s="55" t="s">
        <v>1002</v>
      </c>
      <c r="H104" s="64">
        <v>4</v>
      </c>
      <c r="I104" s="71">
        <v>468</v>
      </c>
      <c r="J104" s="64">
        <f>H104*AO104</f>
        <v>0</v>
      </c>
      <c r="K104" s="64">
        <f>H104*AP104</f>
        <v>1872</v>
      </c>
      <c r="L104" s="64">
        <f>H104*I104</f>
        <v>1872</v>
      </c>
      <c r="M104" s="79"/>
      <c r="N104" s="19"/>
      <c r="Z104" s="35">
        <f>IF(AQ104="5",BJ104,0)</f>
        <v>0</v>
      </c>
      <c r="AB104" s="35">
        <f>IF(AQ104="1",BH104,0)</f>
        <v>0</v>
      </c>
      <c r="AC104" s="35">
        <f>IF(AQ104="1",BI104,0)</f>
        <v>0</v>
      </c>
      <c r="AD104" s="35">
        <f>IF(AQ104="7",BH104,0)</f>
        <v>0</v>
      </c>
      <c r="AE104" s="35">
        <f>IF(AQ104="7",BI104,0)</f>
        <v>1872</v>
      </c>
      <c r="AF104" s="35">
        <f>IF(AQ104="2",BH104,0)</f>
        <v>0</v>
      </c>
      <c r="AG104" s="35">
        <f>IF(AQ104="2",BI104,0)</f>
        <v>0</v>
      </c>
      <c r="AH104" s="35">
        <f>IF(AQ104="0",BJ104,0)</f>
        <v>0</v>
      </c>
      <c r="AI104" s="83" t="s">
        <v>63</v>
      </c>
      <c r="AJ104" s="64">
        <f>IF(AN104=0,L104,0)</f>
        <v>0</v>
      </c>
      <c r="AK104" s="64">
        <f>IF(AN104=15,L104,0)</f>
        <v>0</v>
      </c>
      <c r="AL104" s="64">
        <f>IF(AN104=21,L104,0)</f>
        <v>1872</v>
      </c>
      <c r="AN104" s="35">
        <v>21</v>
      </c>
      <c r="AO104" s="35">
        <f>I104*0</f>
        <v>0</v>
      </c>
      <c r="AP104" s="35">
        <f>I104*(1-0)</f>
        <v>468</v>
      </c>
      <c r="AQ104" s="84" t="s">
        <v>144</v>
      </c>
      <c r="AV104" s="35">
        <f>AW104+AX104</f>
        <v>1872</v>
      </c>
      <c r="AW104" s="35">
        <f>H104*AO104</f>
        <v>0</v>
      </c>
      <c r="AX104" s="35">
        <f>H104*AP104</f>
        <v>1872</v>
      </c>
      <c r="AY104" s="86" t="s">
        <v>1045</v>
      </c>
      <c r="AZ104" s="86" t="s">
        <v>1057</v>
      </c>
      <c r="BA104" s="83" t="s">
        <v>1077</v>
      </c>
      <c r="BC104" s="35">
        <f>AW104+AX104</f>
        <v>1872</v>
      </c>
      <c r="BD104" s="35">
        <f>I104/(100-BE104)*100</f>
        <v>468</v>
      </c>
      <c r="BE104" s="35">
        <v>0</v>
      </c>
      <c r="BF104" s="35">
        <f>104</f>
        <v>104</v>
      </c>
      <c r="BH104" s="64">
        <f>H104*AO104</f>
        <v>0</v>
      </c>
      <c r="BI104" s="64">
        <f>H104*AP104</f>
        <v>1872</v>
      </c>
      <c r="BJ104" s="64">
        <f>H104*I104</f>
        <v>1872</v>
      </c>
      <c r="BK104" s="64" t="s">
        <v>1086</v>
      </c>
      <c r="BL104" s="35">
        <v>741</v>
      </c>
    </row>
    <row r="105" spans="1:64" x14ac:dyDescent="0.2">
      <c r="A105" s="19"/>
      <c r="C105" s="59" t="s">
        <v>521</v>
      </c>
      <c r="D105" s="180" t="s">
        <v>890</v>
      </c>
      <c r="E105" s="181"/>
      <c r="F105" s="181"/>
      <c r="G105" s="181"/>
      <c r="H105" s="181"/>
      <c r="I105" s="182"/>
      <c r="J105" s="181"/>
      <c r="K105" s="181"/>
      <c r="L105" s="181"/>
      <c r="M105" s="183"/>
      <c r="N105" s="19"/>
    </row>
    <row r="106" spans="1:64" x14ac:dyDescent="0.2">
      <c r="A106" s="49" t="s">
        <v>186</v>
      </c>
      <c r="B106" s="57" t="s">
        <v>63</v>
      </c>
      <c r="C106" s="57" t="s">
        <v>567</v>
      </c>
      <c r="D106" s="186" t="s">
        <v>891</v>
      </c>
      <c r="E106" s="187"/>
      <c r="F106" s="187"/>
      <c r="G106" s="57" t="s">
        <v>1001</v>
      </c>
      <c r="H106" s="65">
        <v>2</v>
      </c>
      <c r="I106" s="73">
        <v>32</v>
      </c>
      <c r="J106" s="65">
        <f>H106*AO106</f>
        <v>64</v>
      </c>
      <c r="K106" s="65">
        <f>H106*AP106</f>
        <v>0</v>
      </c>
      <c r="L106" s="65">
        <f>H106*I106</f>
        <v>64</v>
      </c>
      <c r="M106" s="81"/>
      <c r="N106" s="19"/>
      <c r="Z106" s="35">
        <f>IF(AQ106="5",BJ106,0)</f>
        <v>0</v>
      </c>
      <c r="AB106" s="35">
        <f>IF(AQ106="1",BH106,0)</f>
        <v>0</v>
      </c>
      <c r="AC106" s="35">
        <f>IF(AQ106="1",BI106,0)</f>
        <v>0</v>
      </c>
      <c r="AD106" s="35">
        <f>IF(AQ106="7",BH106,0)</f>
        <v>64</v>
      </c>
      <c r="AE106" s="35">
        <f>IF(AQ106="7",BI106,0)</f>
        <v>0</v>
      </c>
      <c r="AF106" s="35">
        <f>IF(AQ106="2",BH106,0)</f>
        <v>0</v>
      </c>
      <c r="AG106" s="35">
        <f>IF(AQ106="2",BI106,0)</f>
        <v>0</v>
      </c>
      <c r="AH106" s="35">
        <f>IF(AQ106="0",BJ106,0)</f>
        <v>0</v>
      </c>
      <c r="AI106" s="83" t="s">
        <v>63</v>
      </c>
      <c r="AJ106" s="65">
        <f>IF(AN106=0,L106,0)</f>
        <v>0</v>
      </c>
      <c r="AK106" s="65">
        <f>IF(AN106=15,L106,0)</f>
        <v>0</v>
      </c>
      <c r="AL106" s="65">
        <f>IF(AN106=21,L106,0)</f>
        <v>64</v>
      </c>
      <c r="AN106" s="35">
        <v>21</v>
      </c>
      <c r="AO106" s="35">
        <f>I106*1</f>
        <v>32</v>
      </c>
      <c r="AP106" s="35">
        <f>I106*(1-1)</f>
        <v>0</v>
      </c>
      <c r="AQ106" s="85" t="s">
        <v>144</v>
      </c>
      <c r="AV106" s="35">
        <f>AW106+AX106</f>
        <v>64</v>
      </c>
      <c r="AW106" s="35">
        <f>H106*AO106</f>
        <v>64</v>
      </c>
      <c r="AX106" s="35">
        <f>H106*AP106</f>
        <v>0</v>
      </c>
      <c r="AY106" s="86" t="s">
        <v>1045</v>
      </c>
      <c r="AZ106" s="86" t="s">
        <v>1057</v>
      </c>
      <c r="BA106" s="83" t="s">
        <v>1077</v>
      </c>
      <c r="BC106" s="35">
        <f>AW106+AX106</f>
        <v>64</v>
      </c>
      <c r="BD106" s="35">
        <f>I106/(100-BE106)*100</f>
        <v>32</v>
      </c>
      <c r="BE106" s="35">
        <v>0</v>
      </c>
      <c r="BF106" s="35">
        <f>106</f>
        <v>106</v>
      </c>
      <c r="BH106" s="65">
        <f>H106*AO106</f>
        <v>64</v>
      </c>
      <c r="BI106" s="65">
        <f>H106*AP106</f>
        <v>0</v>
      </c>
      <c r="BJ106" s="65">
        <f>H106*I106</f>
        <v>64</v>
      </c>
      <c r="BK106" s="65" t="s">
        <v>1001</v>
      </c>
      <c r="BL106" s="35">
        <v>741</v>
      </c>
    </row>
    <row r="107" spans="1:64" x14ac:dyDescent="0.2">
      <c r="A107" s="19"/>
      <c r="C107" s="59" t="s">
        <v>521</v>
      </c>
      <c r="D107" s="180" t="s">
        <v>891</v>
      </c>
      <c r="E107" s="181"/>
      <c r="F107" s="181"/>
      <c r="G107" s="181"/>
      <c r="H107" s="181"/>
      <c r="I107" s="182"/>
      <c r="J107" s="181"/>
      <c r="K107" s="181"/>
      <c r="L107" s="181"/>
      <c r="M107" s="183"/>
      <c r="N107" s="19"/>
    </row>
    <row r="108" spans="1:64" x14ac:dyDescent="0.2">
      <c r="A108" s="47" t="s">
        <v>187</v>
      </c>
      <c r="B108" s="55" t="s">
        <v>63</v>
      </c>
      <c r="C108" s="55" t="s">
        <v>568</v>
      </c>
      <c r="D108" s="178" t="s">
        <v>892</v>
      </c>
      <c r="E108" s="179"/>
      <c r="F108" s="179"/>
      <c r="G108" s="55" t="s">
        <v>1002</v>
      </c>
      <c r="H108" s="64">
        <v>1</v>
      </c>
      <c r="I108" s="71">
        <v>396</v>
      </c>
      <c r="J108" s="64">
        <f>H108*AO108</f>
        <v>0</v>
      </c>
      <c r="K108" s="64">
        <f>H108*AP108</f>
        <v>396</v>
      </c>
      <c r="L108" s="64">
        <f>H108*I108</f>
        <v>396</v>
      </c>
      <c r="M108" s="79"/>
      <c r="N108" s="19"/>
      <c r="Z108" s="35">
        <f>IF(AQ108="5",BJ108,0)</f>
        <v>0</v>
      </c>
      <c r="AB108" s="35">
        <f>IF(AQ108="1",BH108,0)</f>
        <v>0</v>
      </c>
      <c r="AC108" s="35">
        <f>IF(AQ108="1",BI108,0)</f>
        <v>0</v>
      </c>
      <c r="AD108" s="35">
        <f>IF(AQ108="7",BH108,0)</f>
        <v>0</v>
      </c>
      <c r="AE108" s="35">
        <f>IF(AQ108="7",BI108,0)</f>
        <v>396</v>
      </c>
      <c r="AF108" s="35">
        <f>IF(AQ108="2",BH108,0)</f>
        <v>0</v>
      </c>
      <c r="AG108" s="35">
        <f>IF(AQ108="2",BI108,0)</f>
        <v>0</v>
      </c>
      <c r="AH108" s="35">
        <f>IF(AQ108="0",BJ108,0)</f>
        <v>0</v>
      </c>
      <c r="AI108" s="83" t="s">
        <v>63</v>
      </c>
      <c r="AJ108" s="64">
        <f>IF(AN108=0,L108,0)</f>
        <v>0</v>
      </c>
      <c r="AK108" s="64">
        <f>IF(AN108=15,L108,0)</f>
        <v>0</v>
      </c>
      <c r="AL108" s="64">
        <f>IF(AN108=21,L108,0)</f>
        <v>396</v>
      </c>
      <c r="AN108" s="35">
        <v>21</v>
      </c>
      <c r="AO108" s="35">
        <f>I108*0</f>
        <v>0</v>
      </c>
      <c r="AP108" s="35">
        <f>I108*(1-0)</f>
        <v>396</v>
      </c>
      <c r="AQ108" s="84" t="s">
        <v>144</v>
      </c>
      <c r="AV108" s="35">
        <f>AW108+AX108</f>
        <v>396</v>
      </c>
      <c r="AW108" s="35">
        <f>H108*AO108</f>
        <v>0</v>
      </c>
      <c r="AX108" s="35">
        <f>H108*AP108</f>
        <v>396</v>
      </c>
      <c r="AY108" s="86" t="s">
        <v>1045</v>
      </c>
      <c r="AZ108" s="86" t="s">
        <v>1057</v>
      </c>
      <c r="BA108" s="83" t="s">
        <v>1077</v>
      </c>
      <c r="BC108" s="35">
        <f>AW108+AX108</f>
        <v>396</v>
      </c>
      <c r="BD108" s="35">
        <f>I108/(100-BE108)*100</f>
        <v>396</v>
      </c>
      <c r="BE108" s="35">
        <v>0</v>
      </c>
      <c r="BF108" s="35">
        <f>108</f>
        <v>108</v>
      </c>
      <c r="BH108" s="64">
        <f>H108*AO108</f>
        <v>0</v>
      </c>
      <c r="BI108" s="64">
        <f>H108*AP108</f>
        <v>396</v>
      </c>
      <c r="BJ108" s="64">
        <f>H108*I108</f>
        <v>396</v>
      </c>
      <c r="BK108" s="64" t="s">
        <v>1086</v>
      </c>
      <c r="BL108" s="35">
        <v>741</v>
      </c>
    </row>
    <row r="109" spans="1:64" x14ac:dyDescent="0.2">
      <c r="A109" s="19"/>
      <c r="C109" s="59" t="s">
        <v>521</v>
      </c>
      <c r="D109" s="180" t="s">
        <v>893</v>
      </c>
      <c r="E109" s="181"/>
      <c r="F109" s="181"/>
      <c r="G109" s="181"/>
      <c r="H109" s="181"/>
      <c r="I109" s="182"/>
      <c r="J109" s="181"/>
      <c r="K109" s="181"/>
      <c r="L109" s="181"/>
      <c r="M109" s="183"/>
      <c r="N109" s="19"/>
    </row>
    <row r="110" spans="1:64" x14ac:dyDescent="0.2">
      <c r="A110" s="49" t="s">
        <v>188</v>
      </c>
      <c r="B110" s="57" t="s">
        <v>63</v>
      </c>
      <c r="C110" s="57" t="s">
        <v>569</v>
      </c>
      <c r="D110" s="186" t="s">
        <v>894</v>
      </c>
      <c r="E110" s="187"/>
      <c r="F110" s="187"/>
      <c r="G110" s="57" t="s">
        <v>1001</v>
      </c>
      <c r="H110" s="65">
        <v>5</v>
      </c>
      <c r="I110" s="73">
        <v>50</v>
      </c>
      <c r="J110" s="65">
        <f>H110*AO110</f>
        <v>250</v>
      </c>
      <c r="K110" s="65">
        <f>H110*AP110</f>
        <v>0</v>
      </c>
      <c r="L110" s="65">
        <f>H110*I110</f>
        <v>250</v>
      </c>
      <c r="M110" s="81"/>
      <c r="N110" s="19"/>
      <c r="Z110" s="35">
        <f>IF(AQ110="5",BJ110,0)</f>
        <v>0</v>
      </c>
      <c r="AB110" s="35">
        <f>IF(AQ110="1",BH110,0)</f>
        <v>0</v>
      </c>
      <c r="AC110" s="35">
        <f>IF(AQ110="1",BI110,0)</f>
        <v>0</v>
      </c>
      <c r="AD110" s="35">
        <f>IF(AQ110="7",BH110,0)</f>
        <v>250</v>
      </c>
      <c r="AE110" s="35">
        <f>IF(AQ110="7",BI110,0)</f>
        <v>0</v>
      </c>
      <c r="AF110" s="35">
        <f>IF(AQ110="2",BH110,0)</f>
        <v>0</v>
      </c>
      <c r="AG110" s="35">
        <f>IF(AQ110="2",BI110,0)</f>
        <v>0</v>
      </c>
      <c r="AH110" s="35">
        <f>IF(AQ110="0",BJ110,0)</f>
        <v>0</v>
      </c>
      <c r="AI110" s="83" t="s">
        <v>63</v>
      </c>
      <c r="AJ110" s="65">
        <f>IF(AN110=0,L110,0)</f>
        <v>0</v>
      </c>
      <c r="AK110" s="65">
        <f>IF(AN110=15,L110,0)</f>
        <v>0</v>
      </c>
      <c r="AL110" s="65">
        <f>IF(AN110=21,L110,0)</f>
        <v>250</v>
      </c>
      <c r="AN110" s="35">
        <v>21</v>
      </c>
      <c r="AO110" s="35">
        <f>I110*1</f>
        <v>50</v>
      </c>
      <c r="AP110" s="35">
        <f>I110*(1-1)</f>
        <v>0</v>
      </c>
      <c r="AQ110" s="85" t="s">
        <v>144</v>
      </c>
      <c r="AV110" s="35">
        <f>AW110+AX110</f>
        <v>250</v>
      </c>
      <c r="AW110" s="35">
        <f>H110*AO110</f>
        <v>250</v>
      </c>
      <c r="AX110" s="35">
        <f>H110*AP110</f>
        <v>0</v>
      </c>
      <c r="AY110" s="86" t="s">
        <v>1045</v>
      </c>
      <c r="AZ110" s="86" t="s">
        <v>1057</v>
      </c>
      <c r="BA110" s="83" t="s">
        <v>1077</v>
      </c>
      <c r="BC110" s="35">
        <f>AW110+AX110</f>
        <v>250</v>
      </c>
      <c r="BD110" s="35">
        <f>I110/(100-BE110)*100</f>
        <v>50</v>
      </c>
      <c r="BE110" s="35">
        <v>0</v>
      </c>
      <c r="BF110" s="35">
        <f>110</f>
        <v>110</v>
      </c>
      <c r="BH110" s="65">
        <f>H110*AO110</f>
        <v>250</v>
      </c>
      <c r="BI110" s="65">
        <f>H110*AP110</f>
        <v>0</v>
      </c>
      <c r="BJ110" s="65">
        <f>H110*I110</f>
        <v>250</v>
      </c>
      <c r="BK110" s="65" t="s">
        <v>1001</v>
      </c>
      <c r="BL110" s="35">
        <v>741</v>
      </c>
    </row>
    <row r="111" spans="1:64" x14ac:dyDescent="0.2">
      <c r="A111" s="19"/>
      <c r="C111" s="59" t="s">
        <v>521</v>
      </c>
      <c r="D111" s="180" t="s">
        <v>894</v>
      </c>
      <c r="E111" s="181"/>
      <c r="F111" s="181"/>
      <c r="G111" s="181"/>
      <c r="H111" s="181"/>
      <c r="I111" s="182"/>
      <c r="J111" s="181"/>
      <c r="K111" s="181"/>
      <c r="L111" s="181"/>
      <c r="M111" s="183"/>
      <c r="N111" s="19"/>
    </row>
    <row r="112" spans="1:64" x14ac:dyDescent="0.2">
      <c r="A112" s="47" t="s">
        <v>189</v>
      </c>
      <c r="B112" s="55" t="s">
        <v>63</v>
      </c>
      <c r="C112" s="55" t="s">
        <v>570</v>
      </c>
      <c r="D112" s="178" t="s">
        <v>895</v>
      </c>
      <c r="E112" s="179"/>
      <c r="F112" s="179"/>
      <c r="G112" s="55" t="s">
        <v>1002</v>
      </c>
      <c r="H112" s="64">
        <v>1</v>
      </c>
      <c r="I112" s="71">
        <v>504</v>
      </c>
      <c r="J112" s="64">
        <f>H112*AO112</f>
        <v>0</v>
      </c>
      <c r="K112" s="64">
        <f>H112*AP112</f>
        <v>504</v>
      </c>
      <c r="L112" s="64">
        <f>H112*I112</f>
        <v>504</v>
      </c>
      <c r="M112" s="79"/>
      <c r="N112" s="19"/>
      <c r="Z112" s="35">
        <f>IF(AQ112="5",BJ112,0)</f>
        <v>0</v>
      </c>
      <c r="AB112" s="35">
        <f>IF(AQ112="1",BH112,0)</f>
        <v>0</v>
      </c>
      <c r="AC112" s="35">
        <f>IF(AQ112="1",BI112,0)</f>
        <v>0</v>
      </c>
      <c r="AD112" s="35">
        <f>IF(AQ112="7",BH112,0)</f>
        <v>0</v>
      </c>
      <c r="AE112" s="35">
        <f>IF(AQ112="7",BI112,0)</f>
        <v>504</v>
      </c>
      <c r="AF112" s="35">
        <f>IF(AQ112="2",BH112,0)</f>
        <v>0</v>
      </c>
      <c r="AG112" s="35">
        <f>IF(AQ112="2",BI112,0)</f>
        <v>0</v>
      </c>
      <c r="AH112" s="35">
        <f>IF(AQ112="0",BJ112,0)</f>
        <v>0</v>
      </c>
      <c r="AI112" s="83" t="s">
        <v>63</v>
      </c>
      <c r="AJ112" s="64">
        <f>IF(AN112=0,L112,0)</f>
        <v>0</v>
      </c>
      <c r="AK112" s="64">
        <f>IF(AN112=15,L112,0)</f>
        <v>0</v>
      </c>
      <c r="AL112" s="64">
        <f>IF(AN112=21,L112,0)</f>
        <v>504</v>
      </c>
      <c r="AN112" s="35">
        <v>21</v>
      </c>
      <c r="AO112" s="35">
        <f>I112*0</f>
        <v>0</v>
      </c>
      <c r="AP112" s="35">
        <f>I112*(1-0)</f>
        <v>504</v>
      </c>
      <c r="AQ112" s="84" t="s">
        <v>144</v>
      </c>
      <c r="AV112" s="35">
        <f>AW112+AX112</f>
        <v>504</v>
      </c>
      <c r="AW112" s="35">
        <f>H112*AO112</f>
        <v>0</v>
      </c>
      <c r="AX112" s="35">
        <f>H112*AP112</f>
        <v>504</v>
      </c>
      <c r="AY112" s="86" t="s">
        <v>1045</v>
      </c>
      <c r="AZ112" s="86" t="s">
        <v>1057</v>
      </c>
      <c r="BA112" s="83" t="s">
        <v>1077</v>
      </c>
      <c r="BC112" s="35">
        <f>AW112+AX112</f>
        <v>504</v>
      </c>
      <c r="BD112" s="35">
        <f>I112/(100-BE112)*100</f>
        <v>504</v>
      </c>
      <c r="BE112" s="35">
        <v>0</v>
      </c>
      <c r="BF112" s="35">
        <f>112</f>
        <v>112</v>
      </c>
      <c r="BH112" s="64">
        <f>H112*AO112</f>
        <v>0</v>
      </c>
      <c r="BI112" s="64">
        <f>H112*AP112</f>
        <v>504</v>
      </c>
      <c r="BJ112" s="64">
        <f>H112*I112</f>
        <v>504</v>
      </c>
      <c r="BK112" s="64" t="s">
        <v>1086</v>
      </c>
      <c r="BL112" s="35">
        <v>741</v>
      </c>
    </row>
    <row r="113" spans="1:64" x14ac:dyDescent="0.2">
      <c r="A113" s="19"/>
      <c r="C113" s="59" t="s">
        <v>521</v>
      </c>
      <c r="D113" s="180" t="s">
        <v>895</v>
      </c>
      <c r="E113" s="181"/>
      <c r="F113" s="181"/>
      <c r="G113" s="181"/>
      <c r="H113" s="181"/>
      <c r="I113" s="182"/>
      <c r="J113" s="181"/>
      <c r="K113" s="181"/>
      <c r="L113" s="181"/>
      <c r="M113" s="183"/>
      <c r="N113" s="19"/>
    </row>
    <row r="114" spans="1:64" x14ac:dyDescent="0.2">
      <c r="A114" s="47" t="s">
        <v>190</v>
      </c>
      <c r="B114" s="55" t="s">
        <v>63</v>
      </c>
      <c r="C114" s="55" t="s">
        <v>571</v>
      </c>
      <c r="D114" s="178" t="s">
        <v>896</v>
      </c>
      <c r="E114" s="179"/>
      <c r="F114" s="179"/>
      <c r="G114" s="55" t="s">
        <v>1000</v>
      </c>
      <c r="H114" s="64">
        <v>174.92</v>
      </c>
      <c r="I114" s="71">
        <v>1</v>
      </c>
      <c r="J114" s="64">
        <f>H114*AO114</f>
        <v>0</v>
      </c>
      <c r="K114" s="64">
        <f>H114*AP114</f>
        <v>174.92</v>
      </c>
      <c r="L114" s="64">
        <f>H114*I114</f>
        <v>174.92</v>
      </c>
      <c r="M114" s="79" t="s">
        <v>1021</v>
      </c>
      <c r="N114" s="19"/>
      <c r="Z114" s="35">
        <f>IF(AQ114="5",BJ114,0)</f>
        <v>0</v>
      </c>
      <c r="AB114" s="35">
        <f>IF(AQ114="1",BH114,0)</f>
        <v>0</v>
      </c>
      <c r="AC114" s="35">
        <f>IF(AQ114="1",BI114,0)</f>
        <v>0</v>
      </c>
      <c r="AD114" s="35">
        <f>IF(AQ114="7",BH114,0)</f>
        <v>0</v>
      </c>
      <c r="AE114" s="35">
        <f>IF(AQ114="7",BI114,0)</f>
        <v>174.92</v>
      </c>
      <c r="AF114" s="35">
        <f>IF(AQ114="2",BH114,0)</f>
        <v>0</v>
      </c>
      <c r="AG114" s="35">
        <f>IF(AQ114="2",BI114,0)</f>
        <v>0</v>
      </c>
      <c r="AH114" s="35">
        <f>IF(AQ114="0",BJ114,0)</f>
        <v>0</v>
      </c>
      <c r="AI114" s="83" t="s">
        <v>63</v>
      </c>
      <c r="AJ114" s="64">
        <f>IF(AN114=0,L114,0)</f>
        <v>0</v>
      </c>
      <c r="AK114" s="64">
        <f>IF(AN114=15,L114,0)</f>
        <v>0</v>
      </c>
      <c r="AL114" s="64">
        <f>IF(AN114=21,L114,0)</f>
        <v>174.92</v>
      </c>
      <c r="AN114" s="35">
        <v>21</v>
      </c>
      <c r="AO114" s="35">
        <f>I114*0</f>
        <v>0</v>
      </c>
      <c r="AP114" s="35">
        <f>I114*(1-0)</f>
        <v>1</v>
      </c>
      <c r="AQ114" s="84" t="s">
        <v>144</v>
      </c>
      <c r="AV114" s="35">
        <f>AW114+AX114</f>
        <v>174.92</v>
      </c>
      <c r="AW114" s="35">
        <f>H114*AO114</f>
        <v>0</v>
      </c>
      <c r="AX114" s="35">
        <f>H114*AP114</f>
        <v>174.92</v>
      </c>
      <c r="AY114" s="86" t="s">
        <v>1045</v>
      </c>
      <c r="AZ114" s="86" t="s">
        <v>1057</v>
      </c>
      <c r="BA114" s="83" t="s">
        <v>1077</v>
      </c>
      <c r="BC114" s="35">
        <f>AW114+AX114</f>
        <v>174.92</v>
      </c>
      <c r="BD114" s="35">
        <f>I114/(100-BE114)*100</f>
        <v>1</v>
      </c>
      <c r="BE114" s="35">
        <v>0</v>
      </c>
      <c r="BF114" s="35">
        <f>114</f>
        <v>114</v>
      </c>
      <c r="BH114" s="64">
        <f>H114*AO114</f>
        <v>0</v>
      </c>
      <c r="BI114" s="64">
        <f>H114*AP114</f>
        <v>174.92</v>
      </c>
      <c r="BJ114" s="64">
        <f>H114*I114</f>
        <v>174.92</v>
      </c>
      <c r="BK114" s="64" t="s">
        <v>1086</v>
      </c>
      <c r="BL114" s="35">
        <v>741</v>
      </c>
    </row>
    <row r="115" spans="1:64" x14ac:dyDescent="0.2">
      <c r="A115" s="19"/>
      <c r="C115" s="59" t="s">
        <v>521</v>
      </c>
      <c r="D115" s="180" t="s">
        <v>897</v>
      </c>
      <c r="E115" s="181"/>
      <c r="F115" s="181"/>
      <c r="G115" s="181"/>
      <c r="H115" s="181"/>
      <c r="I115" s="182"/>
      <c r="J115" s="181"/>
      <c r="K115" s="181"/>
      <c r="L115" s="181"/>
      <c r="M115" s="183"/>
      <c r="N115" s="19"/>
    </row>
    <row r="116" spans="1:64" x14ac:dyDescent="0.2">
      <c r="A116" s="49" t="s">
        <v>191</v>
      </c>
      <c r="B116" s="57" t="s">
        <v>63</v>
      </c>
      <c r="C116" s="57" t="s">
        <v>572</v>
      </c>
      <c r="D116" s="186" t="s">
        <v>898</v>
      </c>
      <c r="E116" s="187"/>
      <c r="F116" s="187"/>
      <c r="G116" s="57" t="s">
        <v>1002</v>
      </c>
      <c r="H116" s="65">
        <v>1</v>
      </c>
      <c r="I116" s="73">
        <v>166420</v>
      </c>
      <c r="J116" s="65">
        <f>H116*AO116</f>
        <v>166420</v>
      </c>
      <c r="K116" s="65">
        <f>H116*AP116</f>
        <v>0</v>
      </c>
      <c r="L116" s="65">
        <f>H116*I116</f>
        <v>166420</v>
      </c>
      <c r="M116" s="81"/>
      <c r="N116" s="19"/>
      <c r="Z116" s="35">
        <f>IF(AQ116="5",BJ116,0)</f>
        <v>0</v>
      </c>
      <c r="AB116" s="35">
        <f>IF(AQ116="1",BH116,0)</f>
        <v>0</v>
      </c>
      <c r="AC116" s="35">
        <f>IF(AQ116="1",BI116,0)</f>
        <v>0</v>
      </c>
      <c r="AD116" s="35">
        <f>IF(AQ116="7",BH116,0)</f>
        <v>166420</v>
      </c>
      <c r="AE116" s="35">
        <f>IF(AQ116="7",BI116,0)</f>
        <v>0</v>
      </c>
      <c r="AF116" s="35">
        <f>IF(AQ116="2",BH116,0)</f>
        <v>0</v>
      </c>
      <c r="AG116" s="35">
        <f>IF(AQ116="2",BI116,0)</f>
        <v>0</v>
      </c>
      <c r="AH116" s="35">
        <f>IF(AQ116="0",BJ116,0)</f>
        <v>0</v>
      </c>
      <c r="AI116" s="83" t="s">
        <v>63</v>
      </c>
      <c r="AJ116" s="65">
        <f>IF(AN116=0,L116,0)</f>
        <v>0</v>
      </c>
      <c r="AK116" s="65">
        <f>IF(AN116=15,L116,0)</f>
        <v>0</v>
      </c>
      <c r="AL116" s="65">
        <f>IF(AN116=21,L116,0)</f>
        <v>166420</v>
      </c>
      <c r="AN116" s="35">
        <v>21</v>
      </c>
      <c r="AO116" s="35">
        <f>I116*1</f>
        <v>166420</v>
      </c>
      <c r="AP116" s="35">
        <f>I116*(1-1)</f>
        <v>0</v>
      </c>
      <c r="AQ116" s="85" t="s">
        <v>144</v>
      </c>
      <c r="AV116" s="35">
        <f>AW116+AX116</f>
        <v>166420</v>
      </c>
      <c r="AW116" s="35">
        <f>H116*AO116</f>
        <v>166420</v>
      </c>
      <c r="AX116" s="35">
        <f>H116*AP116</f>
        <v>0</v>
      </c>
      <c r="AY116" s="86" t="s">
        <v>1045</v>
      </c>
      <c r="AZ116" s="86" t="s">
        <v>1057</v>
      </c>
      <c r="BA116" s="83" t="s">
        <v>1077</v>
      </c>
      <c r="BC116" s="35">
        <f>AW116+AX116</f>
        <v>166420</v>
      </c>
      <c r="BD116" s="35">
        <f>I116/(100-BE116)*100</f>
        <v>166420</v>
      </c>
      <c r="BE116" s="35">
        <v>0</v>
      </c>
      <c r="BF116" s="35">
        <f>116</f>
        <v>116</v>
      </c>
      <c r="BH116" s="65">
        <f>H116*AO116</f>
        <v>166420</v>
      </c>
      <c r="BI116" s="65">
        <f>H116*AP116</f>
        <v>0</v>
      </c>
      <c r="BJ116" s="65">
        <f>H116*I116</f>
        <v>166420</v>
      </c>
      <c r="BK116" s="65" t="s">
        <v>1001</v>
      </c>
      <c r="BL116" s="35">
        <v>741</v>
      </c>
    </row>
    <row r="117" spans="1:64" ht="179.65" customHeight="1" x14ac:dyDescent="0.2">
      <c r="A117" s="19"/>
      <c r="C117" s="59" t="s">
        <v>521</v>
      </c>
      <c r="D117" s="180" t="s">
        <v>899</v>
      </c>
      <c r="E117" s="181"/>
      <c r="F117" s="181"/>
      <c r="G117" s="181"/>
      <c r="H117" s="181"/>
      <c r="I117" s="182"/>
      <c r="J117" s="181"/>
      <c r="K117" s="181"/>
      <c r="L117" s="181"/>
      <c r="M117" s="183"/>
      <c r="N117" s="19"/>
    </row>
    <row r="118" spans="1:64" x14ac:dyDescent="0.2">
      <c r="A118" s="46"/>
      <c r="B118" s="54" t="s">
        <v>63</v>
      </c>
      <c r="C118" s="54" t="s">
        <v>117</v>
      </c>
      <c r="D118" s="176" t="s">
        <v>136</v>
      </c>
      <c r="E118" s="177"/>
      <c r="F118" s="177"/>
      <c r="G118" s="61" t="s">
        <v>60</v>
      </c>
      <c r="H118" s="61" t="s">
        <v>60</v>
      </c>
      <c r="I118" s="70" t="s">
        <v>60</v>
      </c>
      <c r="J118" s="89">
        <f>SUM(J119:J221)</f>
        <v>91013</v>
      </c>
      <c r="K118" s="89">
        <f>SUM(K119:K221)</f>
        <v>44035.002</v>
      </c>
      <c r="L118" s="89">
        <f>SUM(L119:L221)</f>
        <v>135048.00200000001</v>
      </c>
      <c r="M118" s="78"/>
      <c r="N118" s="19"/>
      <c r="AI118" s="83" t="s">
        <v>63</v>
      </c>
      <c r="AS118" s="89">
        <f>SUM(AJ119:AJ221)</f>
        <v>0</v>
      </c>
      <c r="AT118" s="89">
        <f>SUM(AK119:AK221)</f>
        <v>0</v>
      </c>
      <c r="AU118" s="89">
        <f>SUM(AL119:AL221)</f>
        <v>135048.00200000001</v>
      </c>
    </row>
    <row r="119" spans="1:64" x14ac:dyDescent="0.2">
      <c r="A119" s="47" t="s">
        <v>192</v>
      </c>
      <c r="B119" s="55" t="s">
        <v>63</v>
      </c>
      <c r="C119" s="55" t="s">
        <v>573</v>
      </c>
      <c r="D119" s="178" t="s">
        <v>900</v>
      </c>
      <c r="E119" s="179"/>
      <c r="F119" s="179"/>
      <c r="G119" s="55" t="s">
        <v>1002</v>
      </c>
      <c r="H119" s="64">
        <v>1</v>
      </c>
      <c r="I119" s="71">
        <v>12850</v>
      </c>
      <c r="J119" s="64">
        <f>H119*AO119</f>
        <v>0</v>
      </c>
      <c r="K119" s="64">
        <f>H119*AP119</f>
        <v>12850</v>
      </c>
      <c r="L119" s="64">
        <f>H119*I119</f>
        <v>12850</v>
      </c>
      <c r="M119" s="79"/>
      <c r="N119" s="19"/>
      <c r="Z119" s="35">
        <f>IF(AQ119="5",BJ119,0)</f>
        <v>0</v>
      </c>
      <c r="AB119" s="35">
        <f>IF(AQ119="1",BH119,0)</f>
        <v>0</v>
      </c>
      <c r="AC119" s="35">
        <f>IF(AQ119="1",BI119,0)</f>
        <v>0</v>
      </c>
      <c r="AD119" s="35">
        <f>IF(AQ119="7",BH119,0)</f>
        <v>0</v>
      </c>
      <c r="AE119" s="35">
        <f>IF(AQ119="7",BI119,0)</f>
        <v>12850</v>
      </c>
      <c r="AF119" s="35">
        <f>IF(AQ119="2",BH119,0)</f>
        <v>0</v>
      </c>
      <c r="AG119" s="35">
        <f>IF(AQ119="2",BI119,0)</f>
        <v>0</v>
      </c>
      <c r="AH119" s="35">
        <f>IF(AQ119="0",BJ119,0)</f>
        <v>0</v>
      </c>
      <c r="AI119" s="83" t="s">
        <v>63</v>
      </c>
      <c r="AJ119" s="64">
        <f>IF(AN119=0,L119,0)</f>
        <v>0</v>
      </c>
      <c r="AK119" s="64">
        <f>IF(AN119=15,L119,0)</f>
        <v>0</v>
      </c>
      <c r="AL119" s="64">
        <f>IF(AN119=21,L119,0)</f>
        <v>12850</v>
      </c>
      <c r="AN119" s="35">
        <v>21</v>
      </c>
      <c r="AO119" s="35">
        <f>I119*0</f>
        <v>0</v>
      </c>
      <c r="AP119" s="35">
        <f>I119*(1-0)</f>
        <v>12850</v>
      </c>
      <c r="AQ119" s="84" t="s">
        <v>144</v>
      </c>
      <c r="AV119" s="35">
        <f>AW119+AX119</f>
        <v>12850</v>
      </c>
      <c r="AW119" s="35">
        <f>H119*AO119</f>
        <v>0</v>
      </c>
      <c r="AX119" s="35">
        <f>H119*AP119</f>
        <v>12850</v>
      </c>
      <c r="AY119" s="86" t="s">
        <v>1046</v>
      </c>
      <c r="AZ119" s="86" t="s">
        <v>1058</v>
      </c>
      <c r="BA119" s="83" t="s">
        <v>1077</v>
      </c>
      <c r="BC119" s="35">
        <f>AW119+AX119</f>
        <v>12850</v>
      </c>
      <c r="BD119" s="35">
        <f>I119/(100-BE119)*100</f>
        <v>12850</v>
      </c>
      <c r="BE119" s="35">
        <v>0</v>
      </c>
      <c r="BF119" s="35">
        <f>119</f>
        <v>119</v>
      </c>
      <c r="BH119" s="64">
        <f>H119*AO119</f>
        <v>0</v>
      </c>
      <c r="BI119" s="64">
        <f>H119*AP119</f>
        <v>12850</v>
      </c>
      <c r="BJ119" s="64">
        <f>H119*I119</f>
        <v>12850</v>
      </c>
      <c r="BK119" s="64" t="s">
        <v>1086</v>
      </c>
      <c r="BL119" s="35">
        <v>751</v>
      </c>
    </row>
    <row r="120" spans="1:64" x14ac:dyDescent="0.2">
      <c r="A120" s="19"/>
      <c r="C120" s="59" t="s">
        <v>521</v>
      </c>
      <c r="D120" s="180" t="s">
        <v>901</v>
      </c>
      <c r="E120" s="181"/>
      <c r="F120" s="181"/>
      <c r="G120" s="181"/>
      <c r="H120" s="181"/>
      <c r="I120" s="182"/>
      <c r="J120" s="181"/>
      <c r="K120" s="181"/>
      <c r="L120" s="181"/>
      <c r="M120" s="183"/>
      <c r="N120" s="19"/>
    </row>
    <row r="121" spans="1:64" x14ac:dyDescent="0.2">
      <c r="A121" s="49" t="s">
        <v>106</v>
      </c>
      <c r="B121" s="57" t="s">
        <v>63</v>
      </c>
      <c r="C121" s="57" t="s">
        <v>574</v>
      </c>
      <c r="D121" s="186" t="s">
        <v>902</v>
      </c>
      <c r="E121" s="187"/>
      <c r="F121" s="187"/>
      <c r="G121" s="57" t="s">
        <v>1006</v>
      </c>
      <c r="H121" s="65">
        <v>1</v>
      </c>
      <c r="I121" s="73">
        <v>5840</v>
      </c>
      <c r="J121" s="65">
        <f>H121*AO121</f>
        <v>5840</v>
      </c>
      <c r="K121" s="65">
        <f>H121*AP121</f>
        <v>0</v>
      </c>
      <c r="L121" s="65">
        <f>H121*I121</f>
        <v>5840</v>
      </c>
      <c r="M121" s="81"/>
      <c r="N121" s="19"/>
      <c r="Z121" s="35">
        <f>IF(AQ121="5",BJ121,0)</f>
        <v>0</v>
      </c>
      <c r="AB121" s="35">
        <f>IF(AQ121="1",BH121,0)</f>
        <v>0</v>
      </c>
      <c r="AC121" s="35">
        <f>IF(AQ121="1",BI121,0)</f>
        <v>0</v>
      </c>
      <c r="AD121" s="35">
        <f>IF(AQ121="7",BH121,0)</f>
        <v>5840</v>
      </c>
      <c r="AE121" s="35">
        <f>IF(AQ121="7",BI121,0)</f>
        <v>0</v>
      </c>
      <c r="AF121" s="35">
        <f>IF(AQ121="2",BH121,0)</f>
        <v>0</v>
      </c>
      <c r="AG121" s="35">
        <f>IF(AQ121="2",BI121,0)</f>
        <v>0</v>
      </c>
      <c r="AH121" s="35">
        <f>IF(AQ121="0",BJ121,0)</f>
        <v>0</v>
      </c>
      <c r="AI121" s="83" t="s">
        <v>63</v>
      </c>
      <c r="AJ121" s="65">
        <f>IF(AN121=0,L121,0)</f>
        <v>0</v>
      </c>
      <c r="AK121" s="65">
        <f>IF(AN121=15,L121,0)</f>
        <v>0</v>
      </c>
      <c r="AL121" s="65">
        <f>IF(AN121=21,L121,0)</f>
        <v>5840</v>
      </c>
      <c r="AN121" s="35">
        <v>21</v>
      </c>
      <c r="AO121" s="35">
        <f>I121*1</f>
        <v>5840</v>
      </c>
      <c r="AP121" s="35">
        <f>I121*(1-1)</f>
        <v>0</v>
      </c>
      <c r="AQ121" s="85" t="s">
        <v>144</v>
      </c>
      <c r="AV121" s="35">
        <f>AW121+AX121</f>
        <v>5840</v>
      </c>
      <c r="AW121" s="35">
        <f>H121*AO121</f>
        <v>5840</v>
      </c>
      <c r="AX121" s="35">
        <f>H121*AP121</f>
        <v>0</v>
      </c>
      <c r="AY121" s="86" t="s">
        <v>1046</v>
      </c>
      <c r="AZ121" s="86" t="s">
        <v>1058</v>
      </c>
      <c r="BA121" s="83" t="s">
        <v>1077</v>
      </c>
      <c r="BC121" s="35">
        <f>AW121+AX121</f>
        <v>5840</v>
      </c>
      <c r="BD121" s="35">
        <f>I121/(100-BE121)*100</f>
        <v>5840</v>
      </c>
      <c r="BE121" s="35">
        <v>0</v>
      </c>
      <c r="BF121" s="35">
        <f>121</f>
        <v>121</v>
      </c>
      <c r="BH121" s="65">
        <f>H121*AO121</f>
        <v>5840</v>
      </c>
      <c r="BI121" s="65">
        <f>H121*AP121</f>
        <v>0</v>
      </c>
      <c r="BJ121" s="65">
        <f>H121*I121</f>
        <v>5840</v>
      </c>
      <c r="BK121" s="65" t="s">
        <v>1001</v>
      </c>
      <c r="BL121" s="35">
        <v>751</v>
      </c>
    </row>
    <row r="122" spans="1:64" x14ac:dyDescent="0.2">
      <c r="A122" s="19"/>
      <c r="C122" s="59" t="s">
        <v>521</v>
      </c>
      <c r="D122" s="180" t="s">
        <v>902</v>
      </c>
      <c r="E122" s="181"/>
      <c r="F122" s="181"/>
      <c r="G122" s="181"/>
      <c r="H122" s="181"/>
      <c r="I122" s="182"/>
      <c r="J122" s="181"/>
      <c r="K122" s="181"/>
      <c r="L122" s="181"/>
      <c r="M122" s="183"/>
      <c r="N122" s="19"/>
    </row>
    <row r="123" spans="1:64" x14ac:dyDescent="0.2">
      <c r="A123" s="47" t="s">
        <v>107</v>
      </c>
      <c r="B123" s="55" t="s">
        <v>63</v>
      </c>
      <c r="C123" s="55" t="s">
        <v>575</v>
      </c>
      <c r="D123" s="178" t="s">
        <v>903</v>
      </c>
      <c r="E123" s="179"/>
      <c r="F123" s="179"/>
      <c r="G123" s="55" t="s">
        <v>1002</v>
      </c>
      <c r="H123" s="64">
        <v>1</v>
      </c>
      <c r="I123" s="71">
        <v>920</v>
      </c>
      <c r="J123" s="64">
        <f>H123*AO123</f>
        <v>0</v>
      </c>
      <c r="K123" s="64">
        <f>H123*AP123</f>
        <v>920</v>
      </c>
      <c r="L123" s="64">
        <f>H123*I123</f>
        <v>920</v>
      </c>
      <c r="M123" s="79"/>
      <c r="N123" s="19"/>
      <c r="Z123" s="35">
        <f>IF(AQ123="5",BJ123,0)</f>
        <v>0</v>
      </c>
      <c r="AB123" s="35">
        <f>IF(AQ123="1",BH123,0)</f>
        <v>0</v>
      </c>
      <c r="AC123" s="35">
        <f>IF(AQ123="1",BI123,0)</f>
        <v>0</v>
      </c>
      <c r="AD123" s="35">
        <f>IF(AQ123="7",BH123,0)</f>
        <v>0</v>
      </c>
      <c r="AE123" s="35">
        <f>IF(AQ123="7",BI123,0)</f>
        <v>920</v>
      </c>
      <c r="AF123" s="35">
        <f>IF(AQ123="2",BH123,0)</f>
        <v>0</v>
      </c>
      <c r="AG123" s="35">
        <f>IF(AQ123="2",BI123,0)</f>
        <v>0</v>
      </c>
      <c r="AH123" s="35">
        <f>IF(AQ123="0",BJ123,0)</f>
        <v>0</v>
      </c>
      <c r="AI123" s="83" t="s">
        <v>63</v>
      </c>
      <c r="AJ123" s="64">
        <f>IF(AN123=0,L123,0)</f>
        <v>0</v>
      </c>
      <c r="AK123" s="64">
        <f>IF(AN123=15,L123,0)</f>
        <v>0</v>
      </c>
      <c r="AL123" s="64">
        <f>IF(AN123=21,L123,0)</f>
        <v>920</v>
      </c>
      <c r="AN123" s="35">
        <v>21</v>
      </c>
      <c r="AO123" s="35">
        <f>I123*0</f>
        <v>0</v>
      </c>
      <c r="AP123" s="35">
        <f>I123*(1-0)</f>
        <v>920</v>
      </c>
      <c r="AQ123" s="84" t="s">
        <v>144</v>
      </c>
      <c r="AV123" s="35">
        <f>AW123+AX123</f>
        <v>920</v>
      </c>
      <c r="AW123" s="35">
        <f>H123*AO123</f>
        <v>0</v>
      </c>
      <c r="AX123" s="35">
        <f>H123*AP123</f>
        <v>920</v>
      </c>
      <c r="AY123" s="86" t="s">
        <v>1046</v>
      </c>
      <c r="AZ123" s="86" t="s">
        <v>1058</v>
      </c>
      <c r="BA123" s="83" t="s">
        <v>1077</v>
      </c>
      <c r="BC123" s="35">
        <f>AW123+AX123</f>
        <v>920</v>
      </c>
      <c r="BD123" s="35">
        <f>I123/(100-BE123)*100</f>
        <v>919.99999999999989</v>
      </c>
      <c r="BE123" s="35">
        <v>0</v>
      </c>
      <c r="BF123" s="35">
        <f>123</f>
        <v>123</v>
      </c>
      <c r="BH123" s="64">
        <f>H123*AO123</f>
        <v>0</v>
      </c>
      <c r="BI123" s="64">
        <f>H123*AP123</f>
        <v>920</v>
      </c>
      <c r="BJ123" s="64">
        <f>H123*I123</f>
        <v>920</v>
      </c>
      <c r="BK123" s="64" t="s">
        <v>1086</v>
      </c>
      <c r="BL123" s="35">
        <v>751</v>
      </c>
    </row>
    <row r="124" spans="1:64" x14ac:dyDescent="0.2">
      <c r="A124" s="19"/>
      <c r="C124" s="59" t="s">
        <v>521</v>
      </c>
      <c r="D124" s="180" t="s">
        <v>903</v>
      </c>
      <c r="E124" s="181"/>
      <c r="F124" s="181"/>
      <c r="G124" s="181"/>
      <c r="H124" s="181"/>
      <c r="I124" s="182"/>
      <c r="J124" s="181"/>
      <c r="K124" s="181"/>
      <c r="L124" s="181"/>
      <c r="M124" s="183"/>
      <c r="N124" s="19"/>
    </row>
    <row r="125" spans="1:64" x14ac:dyDescent="0.2">
      <c r="A125" s="47" t="s">
        <v>193</v>
      </c>
      <c r="B125" s="55" t="s">
        <v>63</v>
      </c>
      <c r="C125" s="55" t="s">
        <v>576</v>
      </c>
      <c r="D125" s="178" t="s">
        <v>904</v>
      </c>
      <c r="E125" s="179"/>
      <c r="F125" s="179"/>
      <c r="G125" s="55" t="s">
        <v>1003</v>
      </c>
      <c r="H125" s="64">
        <v>2</v>
      </c>
      <c r="I125" s="71">
        <v>335</v>
      </c>
      <c r="J125" s="64">
        <f>H125*AO125</f>
        <v>0</v>
      </c>
      <c r="K125" s="64">
        <f>H125*AP125</f>
        <v>670</v>
      </c>
      <c r="L125" s="64">
        <f>H125*I125</f>
        <v>670</v>
      </c>
      <c r="M125" s="79" t="s">
        <v>1020</v>
      </c>
      <c r="N125" s="19"/>
      <c r="Z125" s="35">
        <f>IF(AQ125="5",BJ125,0)</f>
        <v>0</v>
      </c>
      <c r="AB125" s="35">
        <f>IF(AQ125="1",BH125,0)</f>
        <v>0</v>
      </c>
      <c r="AC125" s="35">
        <f>IF(AQ125="1",BI125,0)</f>
        <v>0</v>
      </c>
      <c r="AD125" s="35">
        <f>IF(AQ125="7",BH125,0)</f>
        <v>0</v>
      </c>
      <c r="AE125" s="35">
        <f>IF(AQ125="7",BI125,0)</f>
        <v>670</v>
      </c>
      <c r="AF125" s="35">
        <f>IF(AQ125="2",BH125,0)</f>
        <v>0</v>
      </c>
      <c r="AG125" s="35">
        <f>IF(AQ125="2",BI125,0)</f>
        <v>0</v>
      </c>
      <c r="AH125" s="35">
        <f>IF(AQ125="0",BJ125,0)</f>
        <v>0</v>
      </c>
      <c r="AI125" s="83" t="s">
        <v>63</v>
      </c>
      <c r="AJ125" s="64">
        <f>IF(AN125=0,L125,0)</f>
        <v>0</v>
      </c>
      <c r="AK125" s="64">
        <f>IF(AN125=15,L125,0)</f>
        <v>0</v>
      </c>
      <c r="AL125" s="64">
        <f>IF(AN125=21,L125,0)</f>
        <v>670</v>
      </c>
      <c r="AN125" s="35">
        <v>21</v>
      </c>
      <c r="AO125" s="35">
        <f>I125*0</f>
        <v>0</v>
      </c>
      <c r="AP125" s="35">
        <f>I125*(1-0)</f>
        <v>335</v>
      </c>
      <c r="AQ125" s="84" t="s">
        <v>144</v>
      </c>
      <c r="AV125" s="35">
        <f>AW125+AX125</f>
        <v>670</v>
      </c>
      <c r="AW125" s="35">
        <f>H125*AO125</f>
        <v>0</v>
      </c>
      <c r="AX125" s="35">
        <f>H125*AP125</f>
        <v>670</v>
      </c>
      <c r="AY125" s="86" t="s">
        <v>1046</v>
      </c>
      <c r="AZ125" s="86" t="s">
        <v>1058</v>
      </c>
      <c r="BA125" s="83" t="s">
        <v>1077</v>
      </c>
      <c r="BC125" s="35">
        <f>AW125+AX125</f>
        <v>670</v>
      </c>
      <c r="BD125" s="35">
        <f>I125/(100-BE125)*100</f>
        <v>335</v>
      </c>
      <c r="BE125" s="35">
        <v>0</v>
      </c>
      <c r="BF125" s="35">
        <f>125</f>
        <v>125</v>
      </c>
      <c r="BH125" s="64">
        <f>H125*AO125</f>
        <v>0</v>
      </c>
      <c r="BI125" s="64">
        <f>H125*AP125</f>
        <v>670</v>
      </c>
      <c r="BJ125" s="64">
        <f>H125*I125</f>
        <v>670</v>
      </c>
      <c r="BK125" s="64" t="s">
        <v>1086</v>
      </c>
      <c r="BL125" s="35">
        <v>751</v>
      </c>
    </row>
    <row r="126" spans="1:64" x14ac:dyDescent="0.2">
      <c r="A126" s="19"/>
      <c r="C126" s="59" t="s">
        <v>521</v>
      </c>
      <c r="D126" s="180" t="s">
        <v>904</v>
      </c>
      <c r="E126" s="181"/>
      <c r="F126" s="181"/>
      <c r="G126" s="181"/>
      <c r="H126" s="181"/>
      <c r="I126" s="182"/>
      <c r="J126" s="181"/>
      <c r="K126" s="181"/>
      <c r="L126" s="181"/>
      <c r="M126" s="183"/>
      <c r="N126" s="19"/>
    </row>
    <row r="127" spans="1:64" x14ac:dyDescent="0.2">
      <c r="A127" s="49" t="s">
        <v>194</v>
      </c>
      <c r="B127" s="57" t="s">
        <v>63</v>
      </c>
      <c r="C127" s="57" t="s">
        <v>577</v>
      </c>
      <c r="D127" s="186" t="s">
        <v>905</v>
      </c>
      <c r="E127" s="187"/>
      <c r="F127" s="187"/>
      <c r="G127" s="57" t="s">
        <v>1004</v>
      </c>
      <c r="H127" s="65">
        <v>2</v>
      </c>
      <c r="I127" s="73">
        <v>1340</v>
      </c>
      <c r="J127" s="65">
        <f>H127*AO127</f>
        <v>2680</v>
      </c>
      <c r="K127" s="65">
        <f>H127*AP127</f>
        <v>0</v>
      </c>
      <c r="L127" s="65">
        <f>H127*I127</f>
        <v>2680</v>
      </c>
      <c r="M127" s="81"/>
      <c r="N127" s="19"/>
      <c r="Z127" s="35">
        <f>IF(AQ127="5",BJ127,0)</f>
        <v>0</v>
      </c>
      <c r="AB127" s="35">
        <f>IF(AQ127="1",BH127,0)</f>
        <v>0</v>
      </c>
      <c r="AC127" s="35">
        <f>IF(AQ127="1",BI127,0)</f>
        <v>0</v>
      </c>
      <c r="AD127" s="35">
        <f>IF(AQ127="7",BH127,0)</f>
        <v>2680</v>
      </c>
      <c r="AE127" s="35">
        <f>IF(AQ127="7",BI127,0)</f>
        <v>0</v>
      </c>
      <c r="AF127" s="35">
        <f>IF(AQ127="2",BH127,0)</f>
        <v>0</v>
      </c>
      <c r="AG127" s="35">
        <f>IF(AQ127="2",BI127,0)</f>
        <v>0</v>
      </c>
      <c r="AH127" s="35">
        <f>IF(AQ127="0",BJ127,0)</f>
        <v>0</v>
      </c>
      <c r="AI127" s="83" t="s">
        <v>63</v>
      </c>
      <c r="AJ127" s="65">
        <f>IF(AN127=0,L127,0)</f>
        <v>0</v>
      </c>
      <c r="AK127" s="65">
        <f>IF(AN127=15,L127,0)</f>
        <v>0</v>
      </c>
      <c r="AL127" s="65">
        <f>IF(AN127=21,L127,0)</f>
        <v>2680</v>
      </c>
      <c r="AN127" s="35">
        <v>21</v>
      </c>
      <c r="AO127" s="35">
        <f>I127*1</f>
        <v>1340</v>
      </c>
      <c r="AP127" s="35">
        <f>I127*(1-1)</f>
        <v>0</v>
      </c>
      <c r="AQ127" s="85" t="s">
        <v>144</v>
      </c>
      <c r="AV127" s="35">
        <f>AW127+AX127</f>
        <v>2680</v>
      </c>
      <c r="AW127" s="35">
        <f>H127*AO127</f>
        <v>2680</v>
      </c>
      <c r="AX127" s="35">
        <f>H127*AP127</f>
        <v>0</v>
      </c>
      <c r="AY127" s="86" t="s">
        <v>1046</v>
      </c>
      <c r="AZ127" s="86" t="s">
        <v>1058</v>
      </c>
      <c r="BA127" s="83" t="s">
        <v>1077</v>
      </c>
      <c r="BC127" s="35">
        <f>AW127+AX127</f>
        <v>2680</v>
      </c>
      <c r="BD127" s="35">
        <f>I127/(100-BE127)*100</f>
        <v>1340</v>
      </c>
      <c r="BE127" s="35">
        <v>0</v>
      </c>
      <c r="BF127" s="35">
        <f>127</f>
        <v>127</v>
      </c>
      <c r="BH127" s="65">
        <f>H127*AO127</f>
        <v>2680</v>
      </c>
      <c r="BI127" s="65">
        <f>H127*AP127</f>
        <v>0</v>
      </c>
      <c r="BJ127" s="65">
        <f>H127*I127</f>
        <v>2680</v>
      </c>
      <c r="BK127" s="65" t="s">
        <v>1001</v>
      </c>
      <c r="BL127" s="35">
        <v>751</v>
      </c>
    </row>
    <row r="128" spans="1:64" x14ac:dyDescent="0.2">
      <c r="A128" s="19"/>
      <c r="C128" s="59" t="s">
        <v>521</v>
      </c>
      <c r="D128" s="180" t="s">
        <v>905</v>
      </c>
      <c r="E128" s="181"/>
      <c r="F128" s="181"/>
      <c r="G128" s="181"/>
      <c r="H128" s="181"/>
      <c r="I128" s="182"/>
      <c r="J128" s="181"/>
      <c r="K128" s="181"/>
      <c r="L128" s="181"/>
      <c r="M128" s="183"/>
      <c r="N128" s="19"/>
    </row>
    <row r="129" spans="1:64" x14ac:dyDescent="0.2">
      <c r="A129" s="49" t="s">
        <v>108</v>
      </c>
      <c r="B129" s="57" t="s">
        <v>63</v>
      </c>
      <c r="C129" s="57" t="s">
        <v>578</v>
      </c>
      <c r="D129" s="186" t="s">
        <v>906</v>
      </c>
      <c r="E129" s="187"/>
      <c r="F129" s="187"/>
      <c r="G129" s="57" t="s">
        <v>1004</v>
      </c>
      <c r="H129" s="65">
        <v>1</v>
      </c>
      <c r="I129" s="73">
        <v>8970</v>
      </c>
      <c r="J129" s="65">
        <f>H129*AO129</f>
        <v>8970</v>
      </c>
      <c r="K129" s="65">
        <f>H129*AP129</f>
        <v>0</v>
      </c>
      <c r="L129" s="65">
        <f>H129*I129</f>
        <v>8970</v>
      </c>
      <c r="M129" s="81"/>
      <c r="N129" s="19"/>
      <c r="Z129" s="35">
        <f>IF(AQ129="5",BJ129,0)</f>
        <v>0</v>
      </c>
      <c r="AB129" s="35">
        <f>IF(AQ129="1",BH129,0)</f>
        <v>0</v>
      </c>
      <c r="AC129" s="35">
        <f>IF(AQ129="1",BI129,0)</f>
        <v>0</v>
      </c>
      <c r="AD129" s="35">
        <f>IF(AQ129="7",BH129,0)</f>
        <v>8970</v>
      </c>
      <c r="AE129" s="35">
        <f>IF(AQ129="7",BI129,0)</f>
        <v>0</v>
      </c>
      <c r="AF129" s="35">
        <f>IF(AQ129="2",BH129,0)</f>
        <v>0</v>
      </c>
      <c r="AG129" s="35">
        <f>IF(AQ129="2",BI129,0)</f>
        <v>0</v>
      </c>
      <c r="AH129" s="35">
        <f>IF(AQ129="0",BJ129,0)</f>
        <v>0</v>
      </c>
      <c r="AI129" s="83" t="s">
        <v>63</v>
      </c>
      <c r="AJ129" s="65">
        <f>IF(AN129=0,L129,0)</f>
        <v>0</v>
      </c>
      <c r="AK129" s="65">
        <f>IF(AN129=15,L129,0)</f>
        <v>0</v>
      </c>
      <c r="AL129" s="65">
        <f>IF(AN129=21,L129,0)</f>
        <v>8970</v>
      </c>
      <c r="AN129" s="35">
        <v>21</v>
      </c>
      <c r="AO129" s="35">
        <f>I129*1</f>
        <v>8970</v>
      </c>
      <c r="AP129" s="35">
        <f>I129*(1-1)</f>
        <v>0</v>
      </c>
      <c r="AQ129" s="85" t="s">
        <v>144</v>
      </c>
      <c r="AV129" s="35">
        <f>AW129+AX129</f>
        <v>8970</v>
      </c>
      <c r="AW129" s="35">
        <f>H129*AO129</f>
        <v>8970</v>
      </c>
      <c r="AX129" s="35">
        <f>H129*AP129</f>
        <v>0</v>
      </c>
      <c r="AY129" s="86" t="s">
        <v>1046</v>
      </c>
      <c r="AZ129" s="86" t="s">
        <v>1058</v>
      </c>
      <c r="BA129" s="83" t="s">
        <v>1077</v>
      </c>
      <c r="BC129" s="35">
        <f>AW129+AX129</f>
        <v>8970</v>
      </c>
      <c r="BD129" s="35">
        <f>I129/(100-BE129)*100</f>
        <v>8970</v>
      </c>
      <c r="BE129" s="35">
        <v>0</v>
      </c>
      <c r="BF129" s="35">
        <f>129</f>
        <v>129</v>
      </c>
      <c r="BH129" s="65">
        <f>H129*AO129</f>
        <v>8970</v>
      </c>
      <c r="BI129" s="65">
        <f>H129*AP129</f>
        <v>0</v>
      </c>
      <c r="BJ129" s="65">
        <f>H129*I129</f>
        <v>8970</v>
      </c>
      <c r="BK129" s="65" t="s">
        <v>1001</v>
      </c>
      <c r="BL129" s="35">
        <v>751</v>
      </c>
    </row>
    <row r="130" spans="1:64" ht="25.7" customHeight="1" x14ac:dyDescent="0.2">
      <c r="A130" s="19"/>
      <c r="C130" s="59" t="s">
        <v>521</v>
      </c>
      <c r="D130" s="180" t="s">
        <v>907</v>
      </c>
      <c r="E130" s="181"/>
      <c r="F130" s="181"/>
      <c r="G130" s="181"/>
      <c r="H130" s="181"/>
      <c r="I130" s="182"/>
      <c r="J130" s="181"/>
      <c r="K130" s="181"/>
      <c r="L130" s="181"/>
      <c r="M130" s="183"/>
      <c r="N130" s="19"/>
    </row>
    <row r="131" spans="1:64" x14ac:dyDescent="0.2">
      <c r="A131" s="49" t="s">
        <v>195</v>
      </c>
      <c r="B131" s="57" t="s">
        <v>63</v>
      </c>
      <c r="C131" s="57" t="s">
        <v>579</v>
      </c>
      <c r="D131" s="186" t="s">
        <v>908</v>
      </c>
      <c r="E131" s="187"/>
      <c r="F131" s="187"/>
      <c r="G131" s="57" t="s">
        <v>1007</v>
      </c>
      <c r="H131" s="65">
        <v>5</v>
      </c>
      <c r="I131" s="73">
        <v>332</v>
      </c>
      <c r="J131" s="65">
        <f>H131*AO131</f>
        <v>1660</v>
      </c>
      <c r="K131" s="65">
        <f>H131*AP131</f>
        <v>0</v>
      </c>
      <c r="L131" s="65">
        <f>H131*I131</f>
        <v>1660</v>
      </c>
      <c r="M131" s="81"/>
      <c r="N131" s="19"/>
      <c r="Z131" s="35">
        <f>IF(AQ131="5",BJ131,0)</f>
        <v>0</v>
      </c>
      <c r="AB131" s="35">
        <f>IF(AQ131="1",BH131,0)</f>
        <v>0</v>
      </c>
      <c r="AC131" s="35">
        <f>IF(AQ131="1",BI131,0)</f>
        <v>0</v>
      </c>
      <c r="AD131" s="35">
        <f>IF(AQ131="7",BH131,0)</f>
        <v>1660</v>
      </c>
      <c r="AE131" s="35">
        <f>IF(AQ131="7",BI131,0)</f>
        <v>0</v>
      </c>
      <c r="AF131" s="35">
        <f>IF(AQ131="2",BH131,0)</f>
        <v>0</v>
      </c>
      <c r="AG131" s="35">
        <f>IF(AQ131="2",BI131,0)</f>
        <v>0</v>
      </c>
      <c r="AH131" s="35">
        <f>IF(AQ131="0",BJ131,0)</f>
        <v>0</v>
      </c>
      <c r="AI131" s="83" t="s">
        <v>63</v>
      </c>
      <c r="AJ131" s="65">
        <f>IF(AN131=0,L131,0)</f>
        <v>0</v>
      </c>
      <c r="AK131" s="65">
        <f>IF(AN131=15,L131,0)</f>
        <v>0</v>
      </c>
      <c r="AL131" s="65">
        <f>IF(AN131=21,L131,0)</f>
        <v>1660</v>
      </c>
      <c r="AN131" s="35">
        <v>21</v>
      </c>
      <c r="AO131" s="35">
        <f>I131*1</f>
        <v>332</v>
      </c>
      <c r="AP131" s="35">
        <f>I131*(1-1)</f>
        <v>0</v>
      </c>
      <c r="AQ131" s="85" t="s">
        <v>144</v>
      </c>
      <c r="AV131" s="35">
        <f>AW131+AX131</f>
        <v>1660</v>
      </c>
      <c r="AW131" s="35">
        <f>H131*AO131</f>
        <v>1660</v>
      </c>
      <c r="AX131" s="35">
        <f>H131*AP131</f>
        <v>0</v>
      </c>
      <c r="AY131" s="86" t="s">
        <v>1046</v>
      </c>
      <c r="AZ131" s="86" t="s">
        <v>1058</v>
      </c>
      <c r="BA131" s="83" t="s">
        <v>1077</v>
      </c>
      <c r="BC131" s="35">
        <f>AW131+AX131</f>
        <v>1660</v>
      </c>
      <c r="BD131" s="35">
        <f>I131/(100-BE131)*100</f>
        <v>332</v>
      </c>
      <c r="BE131" s="35">
        <v>0</v>
      </c>
      <c r="BF131" s="35">
        <f>131</f>
        <v>131</v>
      </c>
      <c r="BH131" s="65">
        <f>H131*AO131</f>
        <v>1660</v>
      </c>
      <c r="BI131" s="65">
        <f>H131*AP131</f>
        <v>0</v>
      </c>
      <c r="BJ131" s="65">
        <f>H131*I131</f>
        <v>1660</v>
      </c>
      <c r="BK131" s="65" t="s">
        <v>1001</v>
      </c>
      <c r="BL131" s="35">
        <v>751</v>
      </c>
    </row>
    <row r="132" spans="1:64" x14ac:dyDescent="0.2">
      <c r="A132" s="19"/>
      <c r="C132" s="59" t="s">
        <v>521</v>
      </c>
      <c r="D132" s="180" t="s">
        <v>908</v>
      </c>
      <c r="E132" s="181"/>
      <c r="F132" s="181"/>
      <c r="G132" s="181"/>
      <c r="H132" s="181"/>
      <c r="I132" s="182"/>
      <c r="J132" s="181"/>
      <c r="K132" s="181"/>
      <c r="L132" s="181"/>
      <c r="M132" s="183"/>
      <c r="N132" s="19"/>
    </row>
    <row r="133" spans="1:64" x14ac:dyDescent="0.2">
      <c r="A133" s="47" t="s">
        <v>196</v>
      </c>
      <c r="B133" s="55" t="s">
        <v>63</v>
      </c>
      <c r="C133" s="55" t="s">
        <v>580</v>
      </c>
      <c r="D133" s="178" t="s">
        <v>909</v>
      </c>
      <c r="E133" s="179"/>
      <c r="F133" s="179"/>
      <c r="G133" s="55" t="s">
        <v>1002</v>
      </c>
      <c r="H133" s="64">
        <v>1</v>
      </c>
      <c r="I133" s="71">
        <v>2670</v>
      </c>
      <c r="J133" s="64">
        <f>H133*AO133</f>
        <v>0</v>
      </c>
      <c r="K133" s="64">
        <f>H133*AP133</f>
        <v>2670</v>
      </c>
      <c r="L133" s="64">
        <f>H133*I133</f>
        <v>2670</v>
      </c>
      <c r="M133" s="79"/>
      <c r="N133" s="19"/>
      <c r="Z133" s="35">
        <f>IF(AQ133="5",BJ133,0)</f>
        <v>0</v>
      </c>
      <c r="AB133" s="35">
        <f>IF(AQ133="1",BH133,0)</f>
        <v>0</v>
      </c>
      <c r="AC133" s="35">
        <f>IF(AQ133="1",BI133,0)</f>
        <v>0</v>
      </c>
      <c r="AD133" s="35">
        <f>IF(AQ133="7",BH133,0)</f>
        <v>0</v>
      </c>
      <c r="AE133" s="35">
        <f>IF(AQ133="7",BI133,0)</f>
        <v>2670</v>
      </c>
      <c r="AF133" s="35">
        <f>IF(AQ133="2",BH133,0)</f>
        <v>0</v>
      </c>
      <c r="AG133" s="35">
        <f>IF(AQ133="2",BI133,0)</f>
        <v>0</v>
      </c>
      <c r="AH133" s="35">
        <f>IF(AQ133="0",BJ133,0)</f>
        <v>0</v>
      </c>
      <c r="AI133" s="83" t="s">
        <v>63</v>
      </c>
      <c r="AJ133" s="64">
        <f>IF(AN133=0,L133,0)</f>
        <v>0</v>
      </c>
      <c r="AK133" s="64">
        <f>IF(AN133=15,L133,0)</f>
        <v>0</v>
      </c>
      <c r="AL133" s="64">
        <f>IF(AN133=21,L133,0)</f>
        <v>2670</v>
      </c>
      <c r="AN133" s="35">
        <v>21</v>
      </c>
      <c r="AO133" s="35">
        <f>I133*0</f>
        <v>0</v>
      </c>
      <c r="AP133" s="35">
        <f>I133*(1-0)</f>
        <v>2670</v>
      </c>
      <c r="AQ133" s="84" t="s">
        <v>144</v>
      </c>
      <c r="AV133" s="35">
        <f>AW133+AX133</f>
        <v>2670</v>
      </c>
      <c r="AW133" s="35">
        <f>H133*AO133</f>
        <v>0</v>
      </c>
      <c r="AX133" s="35">
        <f>H133*AP133</f>
        <v>2670</v>
      </c>
      <c r="AY133" s="86" t="s">
        <v>1046</v>
      </c>
      <c r="AZ133" s="86" t="s">
        <v>1058</v>
      </c>
      <c r="BA133" s="83" t="s">
        <v>1077</v>
      </c>
      <c r="BC133" s="35">
        <f>AW133+AX133</f>
        <v>2670</v>
      </c>
      <c r="BD133" s="35">
        <f>I133/(100-BE133)*100</f>
        <v>2670</v>
      </c>
      <c r="BE133" s="35">
        <v>0</v>
      </c>
      <c r="BF133" s="35">
        <f>133</f>
        <v>133</v>
      </c>
      <c r="BH133" s="64">
        <f>H133*AO133</f>
        <v>0</v>
      </c>
      <c r="BI133" s="64">
        <f>H133*AP133</f>
        <v>2670</v>
      </c>
      <c r="BJ133" s="64">
        <f>H133*I133</f>
        <v>2670</v>
      </c>
      <c r="BK133" s="64" t="s">
        <v>1086</v>
      </c>
      <c r="BL133" s="35">
        <v>751</v>
      </c>
    </row>
    <row r="134" spans="1:64" x14ac:dyDescent="0.2">
      <c r="A134" s="19"/>
      <c r="C134" s="59" t="s">
        <v>521</v>
      </c>
      <c r="D134" s="180" t="s">
        <v>909</v>
      </c>
      <c r="E134" s="181"/>
      <c r="F134" s="181"/>
      <c r="G134" s="181"/>
      <c r="H134" s="181"/>
      <c r="I134" s="182"/>
      <c r="J134" s="181"/>
      <c r="K134" s="181"/>
      <c r="L134" s="181"/>
      <c r="M134" s="183"/>
      <c r="N134" s="19"/>
    </row>
    <row r="135" spans="1:64" x14ac:dyDescent="0.2">
      <c r="A135" s="49" t="s">
        <v>197</v>
      </c>
      <c r="B135" s="57" t="s">
        <v>63</v>
      </c>
      <c r="C135" s="57" t="s">
        <v>581</v>
      </c>
      <c r="D135" s="186" t="s">
        <v>910</v>
      </c>
      <c r="E135" s="187"/>
      <c r="F135" s="187"/>
      <c r="G135" s="57" t="s">
        <v>1004</v>
      </c>
      <c r="H135" s="65">
        <v>2</v>
      </c>
      <c r="I135" s="73">
        <v>8780</v>
      </c>
      <c r="J135" s="65">
        <f>H135*AO135</f>
        <v>17560</v>
      </c>
      <c r="K135" s="65">
        <f>H135*AP135</f>
        <v>0</v>
      </c>
      <c r="L135" s="65">
        <f>H135*I135</f>
        <v>17560</v>
      </c>
      <c r="M135" s="81"/>
      <c r="N135" s="19"/>
      <c r="Z135" s="35">
        <f>IF(AQ135="5",BJ135,0)</f>
        <v>0</v>
      </c>
      <c r="AB135" s="35">
        <f>IF(AQ135="1",BH135,0)</f>
        <v>0</v>
      </c>
      <c r="AC135" s="35">
        <f>IF(AQ135="1",BI135,0)</f>
        <v>0</v>
      </c>
      <c r="AD135" s="35">
        <f>IF(AQ135="7",BH135,0)</f>
        <v>17560</v>
      </c>
      <c r="AE135" s="35">
        <f>IF(AQ135="7",BI135,0)</f>
        <v>0</v>
      </c>
      <c r="AF135" s="35">
        <f>IF(AQ135="2",BH135,0)</f>
        <v>0</v>
      </c>
      <c r="AG135" s="35">
        <f>IF(AQ135="2",BI135,0)</f>
        <v>0</v>
      </c>
      <c r="AH135" s="35">
        <f>IF(AQ135="0",BJ135,0)</f>
        <v>0</v>
      </c>
      <c r="AI135" s="83" t="s">
        <v>63</v>
      </c>
      <c r="AJ135" s="65">
        <f>IF(AN135=0,L135,0)</f>
        <v>0</v>
      </c>
      <c r="AK135" s="65">
        <f>IF(AN135=15,L135,0)</f>
        <v>0</v>
      </c>
      <c r="AL135" s="65">
        <f>IF(AN135=21,L135,0)</f>
        <v>17560</v>
      </c>
      <c r="AN135" s="35">
        <v>21</v>
      </c>
      <c r="AO135" s="35">
        <f>I135*1</f>
        <v>8780</v>
      </c>
      <c r="AP135" s="35">
        <f>I135*(1-1)</f>
        <v>0</v>
      </c>
      <c r="AQ135" s="85" t="s">
        <v>144</v>
      </c>
      <c r="AV135" s="35">
        <f>AW135+AX135</f>
        <v>17560</v>
      </c>
      <c r="AW135" s="35">
        <f>H135*AO135</f>
        <v>17560</v>
      </c>
      <c r="AX135" s="35">
        <f>H135*AP135</f>
        <v>0</v>
      </c>
      <c r="AY135" s="86" t="s">
        <v>1046</v>
      </c>
      <c r="AZ135" s="86" t="s">
        <v>1058</v>
      </c>
      <c r="BA135" s="83" t="s">
        <v>1077</v>
      </c>
      <c r="BC135" s="35">
        <f>AW135+AX135</f>
        <v>17560</v>
      </c>
      <c r="BD135" s="35">
        <f>I135/(100-BE135)*100</f>
        <v>8780</v>
      </c>
      <c r="BE135" s="35">
        <v>0</v>
      </c>
      <c r="BF135" s="35">
        <f>135</f>
        <v>135</v>
      </c>
      <c r="BH135" s="65">
        <f>H135*AO135</f>
        <v>17560</v>
      </c>
      <c r="BI135" s="65">
        <f>H135*AP135</f>
        <v>0</v>
      </c>
      <c r="BJ135" s="65">
        <f>H135*I135</f>
        <v>17560</v>
      </c>
      <c r="BK135" s="65" t="s">
        <v>1001</v>
      </c>
      <c r="BL135" s="35">
        <v>751</v>
      </c>
    </row>
    <row r="136" spans="1:64" x14ac:dyDescent="0.2">
      <c r="A136" s="19"/>
      <c r="C136" s="59" t="s">
        <v>521</v>
      </c>
      <c r="D136" s="180" t="s">
        <v>910</v>
      </c>
      <c r="E136" s="181"/>
      <c r="F136" s="181"/>
      <c r="G136" s="181"/>
      <c r="H136" s="181"/>
      <c r="I136" s="182"/>
      <c r="J136" s="181"/>
      <c r="K136" s="181"/>
      <c r="L136" s="181"/>
      <c r="M136" s="183"/>
      <c r="N136" s="19"/>
    </row>
    <row r="137" spans="1:64" x14ac:dyDescent="0.2">
      <c r="A137" s="47" t="s">
        <v>198</v>
      </c>
      <c r="B137" s="55" t="s">
        <v>63</v>
      </c>
      <c r="C137" s="55" t="s">
        <v>582</v>
      </c>
      <c r="D137" s="178" t="s">
        <v>911</v>
      </c>
      <c r="E137" s="179"/>
      <c r="F137" s="179"/>
      <c r="G137" s="55" t="s">
        <v>1003</v>
      </c>
      <c r="H137" s="64">
        <v>2</v>
      </c>
      <c r="I137" s="71">
        <v>785</v>
      </c>
      <c r="J137" s="64">
        <f>H137*AO137</f>
        <v>0</v>
      </c>
      <c r="K137" s="64">
        <f>H137*AP137</f>
        <v>1570</v>
      </c>
      <c r="L137" s="64">
        <f>H137*I137</f>
        <v>1570</v>
      </c>
      <c r="M137" s="79" t="s">
        <v>1021</v>
      </c>
      <c r="N137" s="19"/>
      <c r="Z137" s="35">
        <f>IF(AQ137="5",BJ137,0)</f>
        <v>0</v>
      </c>
      <c r="AB137" s="35">
        <f>IF(AQ137="1",BH137,0)</f>
        <v>0</v>
      </c>
      <c r="AC137" s="35">
        <f>IF(AQ137="1",BI137,0)</f>
        <v>0</v>
      </c>
      <c r="AD137" s="35">
        <f>IF(AQ137="7",BH137,0)</f>
        <v>0</v>
      </c>
      <c r="AE137" s="35">
        <f>IF(AQ137="7",BI137,0)</f>
        <v>1570</v>
      </c>
      <c r="AF137" s="35">
        <f>IF(AQ137="2",BH137,0)</f>
        <v>0</v>
      </c>
      <c r="AG137" s="35">
        <f>IF(AQ137="2",BI137,0)</f>
        <v>0</v>
      </c>
      <c r="AH137" s="35">
        <f>IF(AQ137="0",BJ137,0)</f>
        <v>0</v>
      </c>
      <c r="AI137" s="83" t="s">
        <v>63</v>
      </c>
      <c r="AJ137" s="64">
        <f>IF(AN137=0,L137,0)</f>
        <v>0</v>
      </c>
      <c r="AK137" s="64">
        <f>IF(AN137=15,L137,0)</f>
        <v>0</v>
      </c>
      <c r="AL137" s="64">
        <f>IF(AN137=21,L137,0)</f>
        <v>1570</v>
      </c>
      <c r="AN137" s="35">
        <v>21</v>
      </c>
      <c r="AO137" s="35">
        <f>I137*0</f>
        <v>0</v>
      </c>
      <c r="AP137" s="35">
        <f>I137*(1-0)</f>
        <v>785</v>
      </c>
      <c r="AQ137" s="84" t="s">
        <v>144</v>
      </c>
      <c r="AV137" s="35">
        <f>AW137+AX137</f>
        <v>1570</v>
      </c>
      <c r="AW137" s="35">
        <f>H137*AO137</f>
        <v>0</v>
      </c>
      <c r="AX137" s="35">
        <f>H137*AP137</f>
        <v>1570</v>
      </c>
      <c r="AY137" s="86" t="s">
        <v>1046</v>
      </c>
      <c r="AZ137" s="86" t="s">
        <v>1058</v>
      </c>
      <c r="BA137" s="83" t="s">
        <v>1077</v>
      </c>
      <c r="BC137" s="35">
        <f>AW137+AX137</f>
        <v>1570</v>
      </c>
      <c r="BD137" s="35">
        <f>I137/(100-BE137)*100</f>
        <v>785</v>
      </c>
      <c r="BE137" s="35">
        <v>0</v>
      </c>
      <c r="BF137" s="35">
        <f>137</f>
        <v>137</v>
      </c>
      <c r="BH137" s="64">
        <f>H137*AO137</f>
        <v>0</v>
      </c>
      <c r="BI137" s="64">
        <f>H137*AP137</f>
        <v>1570</v>
      </c>
      <c r="BJ137" s="64">
        <f>H137*I137</f>
        <v>1570</v>
      </c>
      <c r="BK137" s="64" t="s">
        <v>1086</v>
      </c>
      <c r="BL137" s="35">
        <v>751</v>
      </c>
    </row>
    <row r="138" spans="1:64" x14ac:dyDescent="0.2">
      <c r="A138" s="19"/>
      <c r="C138" s="59" t="s">
        <v>521</v>
      </c>
      <c r="D138" s="180" t="s">
        <v>911</v>
      </c>
      <c r="E138" s="181"/>
      <c r="F138" s="181"/>
      <c r="G138" s="181"/>
      <c r="H138" s="181"/>
      <c r="I138" s="182"/>
      <c r="J138" s="181"/>
      <c r="K138" s="181"/>
      <c r="L138" s="181"/>
      <c r="M138" s="183"/>
      <c r="N138" s="19"/>
    </row>
    <row r="139" spans="1:64" x14ac:dyDescent="0.2">
      <c r="A139" s="47" t="s">
        <v>199</v>
      </c>
      <c r="B139" s="55" t="s">
        <v>63</v>
      </c>
      <c r="C139" s="55" t="s">
        <v>583</v>
      </c>
      <c r="D139" s="178" t="s">
        <v>912</v>
      </c>
      <c r="E139" s="179"/>
      <c r="F139" s="179"/>
      <c r="G139" s="55" t="s">
        <v>1001</v>
      </c>
      <c r="H139" s="64">
        <v>8</v>
      </c>
      <c r="I139" s="71">
        <v>151</v>
      </c>
      <c r="J139" s="64">
        <f>H139*AO139</f>
        <v>0</v>
      </c>
      <c r="K139" s="64">
        <f>H139*AP139</f>
        <v>1208</v>
      </c>
      <c r="L139" s="64">
        <f>H139*I139</f>
        <v>1208</v>
      </c>
      <c r="M139" s="79"/>
      <c r="N139" s="19"/>
      <c r="Z139" s="35">
        <f>IF(AQ139="5",BJ139,0)</f>
        <v>0</v>
      </c>
      <c r="AB139" s="35">
        <f>IF(AQ139="1",BH139,0)</f>
        <v>0</v>
      </c>
      <c r="AC139" s="35">
        <f>IF(AQ139="1",BI139,0)</f>
        <v>0</v>
      </c>
      <c r="AD139" s="35">
        <f>IF(AQ139="7",BH139,0)</f>
        <v>0</v>
      </c>
      <c r="AE139" s="35">
        <f>IF(AQ139="7",BI139,0)</f>
        <v>1208</v>
      </c>
      <c r="AF139" s="35">
        <f>IF(AQ139="2",BH139,0)</f>
        <v>0</v>
      </c>
      <c r="AG139" s="35">
        <f>IF(AQ139="2",BI139,0)</f>
        <v>0</v>
      </c>
      <c r="AH139" s="35">
        <f>IF(AQ139="0",BJ139,0)</f>
        <v>0</v>
      </c>
      <c r="AI139" s="83" t="s">
        <v>63</v>
      </c>
      <c r="AJ139" s="64">
        <f>IF(AN139=0,L139,0)</f>
        <v>0</v>
      </c>
      <c r="AK139" s="64">
        <f>IF(AN139=15,L139,0)</f>
        <v>0</v>
      </c>
      <c r="AL139" s="64">
        <f>IF(AN139=21,L139,0)</f>
        <v>1208</v>
      </c>
      <c r="AN139" s="35">
        <v>21</v>
      </c>
      <c r="AO139" s="35">
        <f>I139*0</f>
        <v>0</v>
      </c>
      <c r="AP139" s="35">
        <f>I139*(1-0)</f>
        <v>151</v>
      </c>
      <c r="AQ139" s="84" t="s">
        <v>144</v>
      </c>
      <c r="AV139" s="35">
        <f>AW139+AX139</f>
        <v>1208</v>
      </c>
      <c r="AW139" s="35">
        <f>H139*AO139</f>
        <v>0</v>
      </c>
      <c r="AX139" s="35">
        <f>H139*AP139</f>
        <v>1208</v>
      </c>
      <c r="AY139" s="86" t="s">
        <v>1046</v>
      </c>
      <c r="AZ139" s="86" t="s">
        <v>1058</v>
      </c>
      <c r="BA139" s="83" t="s">
        <v>1077</v>
      </c>
      <c r="BC139" s="35">
        <f>AW139+AX139</f>
        <v>1208</v>
      </c>
      <c r="BD139" s="35">
        <f>I139/(100-BE139)*100</f>
        <v>151</v>
      </c>
      <c r="BE139" s="35">
        <v>0</v>
      </c>
      <c r="BF139" s="35">
        <f>139</f>
        <v>139</v>
      </c>
      <c r="BH139" s="64">
        <f>H139*AO139</f>
        <v>0</v>
      </c>
      <c r="BI139" s="64">
        <f>H139*AP139</f>
        <v>1208</v>
      </c>
      <c r="BJ139" s="64">
        <f>H139*I139</f>
        <v>1208</v>
      </c>
      <c r="BK139" s="64" t="s">
        <v>1086</v>
      </c>
      <c r="BL139" s="35">
        <v>751</v>
      </c>
    </row>
    <row r="140" spans="1:64" x14ac:dyDescent="0.2">
      <c r="A140" s="19"/>
      <c r="C140" s="59" t="s">
        <v>521</v>
      </c>
      <c r="D140" s="180" t="s">
        <v>912</v>
      </c>
      <c r="E140" s="181"/>
      <c r="F140" s="181"/>
      <c r="G140" s="181"/>
      <c r="H140" s="181"/>
      <c r="I140" s="182"/>
      <c r="J140" s="181"/>
      <c r="K140" s="181"/>
      <c r="L140" s="181"/>
      <c r="M140" s="183"/>
      <c r="N140" s="19"/>
    </row>
    <row r="141" spans="1:64" x14ac:dyDescent="0.2">
      <c r="A141" s="49" t="s">
        <v>200</v>
      </c>
      <c r="B141" s="57" t="s">
        <v>63</v>
      </c>
      <c r="C141" s="57" t="s">
        <v>584</v>
      </c>
      <c r="D141" s="186" t="s">
        <v>913</v>
      </c>
      <c r="E141" s="187"/>
      <c r="F141" s="187"/>
      <c r="G141" s="57" t="s">
        <v>1001</v>
      </c>
      <c r="H141" s="65">
        <v>8</v>
      </c>
      <c r="I141" s="73">
        <v>210</v>
      </c>
      <c r="J141" s="65">
        <f>H141*AO141</f>
        <v>1680</v>
      </c>
      <c r="K141" s="65">
        <f>H141*AP141</f>
        <v>0</v>
      </c>
      <c r="L141" s="65">
        <f>H141*I141</f>
        <v>1680</v>
      </c>
      <c r="M141" s="81"/>
      <c r="N141" s="19"/>
      <c r="Z141" s="35">
        <f>IF(AQ141="5",BJ141,0)</f>
        <v>0</v>
      </c>
      <c r="AB141" s="35">
        <f>IF(AQ141="1",BH141,0)</f>
        <v>0</v>
      </c>
      <c r="AC141" s="35">
        <f>IF(AQ141="1",BI141,0)</f>
        <v>0</v>
      </c>
      <c r="AD141" s="35">
        <f>IF(AQ141="7",BH141,0)</f>
        <v>1680</v>
      </c>
      <c r="AE141" s="35">
        <f>IF(AQ141="7",BI141,0)</f>
        <v>0</v>
      </c>
      <c r="AF141" s="35">
        <f>IF(AQ141="2",BH141,0)</f>
        <v>0</v>
      </c>
      <c r="AG141" s="35">
        <f>IF(AQ141="2",BI141,0)</f>
        <v>0</v>
      </c>
      <c r="AH141" s="35">
        <f>IF(AQ141="0",BJ141,0)</f>
        <v>0</v>
      </c>
      <c r="AI141" s="83" t="s">
        <v>63</v>
      </c>
      <c r="AJ141" s="65">
        <f>IF(AN141=0,L141,0)</f>
        <v>0</v>
      </c>
      <c r="AK141" s="65">
        <f>IF(AN141=15,L141,0)</f>
        <v>0</v>
      </c>
      <c r="AL141" s="65">
        <f>IF(AN141=21,L141,0)</f>
        <v>1680</v>
      </c>
      <c r="AN141" s="35">
        <v>21</v>
      </c>
      <c r="AO141" s="35">
        <f>I141*1</f>
        <v>210</v>
      </c>
      <c r="AP141" s="35">
        <f>I141*(1-1)</f>
        <v>0</v>
      </c>
      <c r="AQ141" s="85" t="s">
        <v>144</v>
      </c>
      <c r="AV141" s="35">
        <f>AW141+AX141</f>
        <v>1680</v>
      </c>
      <c r="AW141" s="35">
        <f>H141*AO141</f>
        <v>1680</v>
      </c>
      <c r="AX141" s="35">
        <f>H141*AP141</f>
        <v>0</v>
      </c>
      <c r="AY141" s="86" t="s">
        <v>1046</v>
      </c>
      <c r="AZ141" s="86" t="s">
        <v>1058</v>
      </c>
      <c r="BA141" s="83" t="s">
        <v>1077</v>
      </c>
      <c r="BC141" s="35">
        <f>AW141+AX141</f>
        <v>1680</v>
      </c>
      <c r="BD141" s="35">
        <f>I141/(100-BE141)*100</f>
        <v>210</v>
      </c>
      <c r="BE141" s="35">
        <v>0</v>
      </c>
      <c r="BF141" s="35">
        <f>141</f>
        <v>141</v>
      </c>
      <c r="BH141" s="65">
        <f>H141*AO141</f>
        <v>1680</v>
      </c>
      <c r="BI141" s="65">
        <f>H141*AP141</f>
        <v>0</v>
      </c>
      <c r="BJ141" s="65">
        <f>H141*I141</f>
        <v>1680</v>
      </c>
      <c r="BK141" s="65" t="s">
        <v>1001</v>
      </c>
      <c r="BL141" s="35">
        <v>751</v>
      </c>
    </row>
    <row r="142" spans="1:64" x14ac:dyDescent="0.2">
      <c r="A142" s="19"/>
      <c r="C142" s="59" t="s">
        <v>521</v>
      </c>
      <c r="D142" s="180" t="s">
        <v>913</v>
      </c>
      <c r="E142" s="181"/>
      <c r="F142" s="181"/>
      <c r="G142" s="181"/>
      <c r="H142" s="181"/>
      <c r="I142" s="182"/>
      <c r="J142" s="181"/>
      <c r="K142" s="181"/>
      <c r="L142" s="181"/>
      <c r="M142" s="183"/>
      <c r="N142" s="19"/>
    </row>
    <row r="143" spans="1:64" x14ac:dyDescent="0.2">
      <c r="A143" s="47" t="s">
        <v>87</v>
      </c>
      <c r="B143" s="55" t="s">
        <v>63</v>
      </c>
      <c r="C143" s="55" t="s">
        <v>585</v>
      </c>
      <c r="D143" s="178" t="s">
        <v>914</v>
      </c>
      <c r="E143" s="179"/>
      <c r="F143" s="179"/>
      <c r="G143" s="55" t="s">
        <v>1001</v>
      </c>
      <c r="H143" s="64">
        <v>6</v>
      </c>
      <c r="I143" s="71">
        <v>105</v>
      </c>
      <c r="J143" s="64">
        <f>H143*AO143</f>
        <v>0</v>
      </c>
      <c r="K143" s="64">
        <f>H143*AP143</f>
        <v>630</v>
      </c>
      <c r="L143" s="64">
        <f>H143*I143</f>
        <v>630</v>
      </c>
      <c r="M143" s="79"/>
      <c r="N143" s="19"/>
      <c r="Z143" s="35">
        <f>IF(AQ143="5",BJ143,0)</f>
        <v>0</v>
      </c>
      <c r="AB143" s="35">
        <f>IF(AQ143="1",BH143,0)</f>
        <v>0</v>
      </c>
      <c r="AC143" s="35">
        <f>IF(AQ143="1",BI143,0)</f>
        <v>0</v>
      </c>
      <c r="AD143" s="35">
        <f>IF(AQ143="7",BH143,0)</f>
        <v>0</v>
      </c>
      <c r="AE143" s="35">
        <f>IF(AQ143="7",BI143,0)</f>
        <v>630</v>
      </c>
      <c r="AF143" s="35">
        <f>IF(AQ143="2",BH143,0)</f>
        <v>0</v>
      </c>
      <c r="AG143" s="35">
        <f>IF(AQ143="2",BI143,0)</f>
        <v>0</v>
      </c>
      <c r="AH143" s="35">
        <f>IF(AQ143="0",BJ143,0)</f>
        <v>0</v>
      </c>
      <c r="AI143" s="83" t="s">
        <v>63</v>
      </c>
      <c r="AJ143" s="64">
        <f>IF(AN143=0,L143,0)</f>
        <v>0</v>
      </c>
      <c r="AK143" s="64">
        <f>IF(AN143=15,L143,0)</f>
        <v>0</v>
      </c>
      <c r="AL143" s="64">
        <f>IF(AN143=21,L143,0)</f>
        <v>630</v>
      </c>
      <c r="AN143" s="35">
        <v>21</v>
      </c>
      <c r="AO143" s="35">
        <f>I143*0</f>
        <v>0</v>
      </c>
      <c r="AP143" s="35">
        <f>I143*(1-0)</f>
        <v>105</v>
      </c>
      <c r="AQ143" s="84" t="s">
        <v>144</v>
      </c>
      <c r="AV143" s="35">
        <f>AW143+AX143</f>
        <v>630</v>
      </c>
      <c r="AW143" s="35">
        <f>H143*AO143</f>
        <v>0</v>
      </c>
      <c r="AX143" s="35">
        <f>H143*AP143</f>
        <v>630</v>
      </c>
      <c r="AY143" s="86" t="s">
        <v>1046</v>
      </c>
      <c r="AZ143" s="86" t="s">
        <v>1058</v>
      </c>
      <c r="BA143" s="83" t="s">
        <v>1077</v>
      </c>
      <c r="BC143" s="35">
        <f>AW143+AX143</f>
        <v>630</v>
      </c>
      <c r="BD143" s="35">
        <f>I143/(100-BE143)*100</f>
        <v>105</v>
      </c>
      <c r="BE143" s="35">
        <v>0</v>
      </c>
      <c r="BF143" s="35">
        <f>143</f>
        <v>143</v>
      </c>
      <c r="BH143" s="64">
        <f>H143*AO143</f>
        <v>0</v>
      </c>
      <c r="BI143" s="64">
        <f>H143*AP143</f>
        <v>630</v>
      </c>
      <c r="BJ143" s="64">
        <f>H143*I143</f>
        <v>630</v>
      </c>
      <c r="BK143" s="64" t="s">
        <v>1086</v>
      </c>
      <c r="BL143" s="35">
        <v>751</v>
      </c>
    </row>
    <row r="144" spans="1:64" x14ac:dyDescent="0.2">
      <c r="A144" s="19"/>
      <c r="C144" s="59" t="s">
        <v>521</v>
      </c>
      <c r="D144" s="180" t="s">
        <v>915</v>
      </c>
      <c r="E144" s="181"/>
      <c r="F144" s="181"/>
      <c r="G144" s="181"/>
      <c r="H144" s="181"/>
      <c r="I144" s="182"/>
      <c r="J144" s="181"/>
      <c r="K144" s="181"/>
      <c r="L144" s="181"/>
      <c r="M144" s="183"/>
      <c r="N144" s="19"/>
    </row>
    <row r="145" spans="1:64" x14ac:dyDescent="0.2">
      <c r="A145" s="49" t="s">
        <v>89</v>
      </c>
      <c r="B145" s="57" t="s">
        <v>63</v>
      </c>
      <c r="C145" s="57" t="s">
        <v>586</v>
      </c>
      <c r="D145" s="186" t="s">
        <v>916</v>
      </c>
      <c r="E145" s="187"/>
      <c r="F145" s="187"/>
      <c r="G145" s="57" t="s">
        <v>1001</v>
      </c>
      <c r="H145" s="65">
        <v>6</v>
      </c>
      <c r="I145" s="73">
        <v>288</v>
      </c>
      <c r="J145" s="65">
        <f>H145*AO145</f>
        <v>1728</v>
      </c>
      <c r="K145" s="65">
        <f>H145*AP145</f>
        <v>0</v>
      </c>
      <c r="L145" s="65">
        <f>H145*I145</f>
        <v>1728</v>
      </c>
      <c r="M145" s="81"/>
      <c r="N145" s="19"/>
      <c r="Z145" s="35">
        <f>IF(AQ145="5",BJ145,0)</f>
        <v>0</v>
      </c>
      <c r="AB145" s="35">
        <f>IF(AQ145="1",BH145,0)</f>
        <v>0</v>
      </c>
      <c r="AC145" s="35">
        <f>IF(AQ145="1",BI145,0)</f>
        <v>0</v>
      </c>
      <c r="AD145" s="35">
        <f>IF(AQ145="7",BH145,0)</f>
        <v>1728</v>
      </c>
      <c r="AE145" s="35">
        <f>IF(AQ145="7",BI145,0)</f>
        <v>0</v>
      </c>
      <c r="AF145" s="35">
        <f>IF(AQ145="2",BH145,0)</f>
        <v>0</v>
      </c>
      <c r="AG145" s="35">
        <f>IF(AQ145="2",BI145,0)</f>
        <v>0</v>
      </c>
      <c r="AH145" s="35">
        <f>IF(AQ145="0",BJ145,0)</f>
        <v>0</v>
      </c>
      <c r="AI145" s="83" t="s">
        <v>63</v>
      </c>
      <c r="AJ145" s="65">
        <f>IF(AN145=0,L145,0)</f>
        <v>0</v>
      </c>
      <c r="AK145" s="65">
        <f>IF(AN145=15,L145,0)</f>
        <v>0</v>
      </c>
      <c r="AL145" s="65">
        <f>IF(AN145=21,L145,0)</f>
        <v>1728</v>
      </c>
      <c r="AN145" s="35">
        <v>21</v>
      </c>
      <c r="AO145" s="35">
        <f>I145*1</f>
        <v>288</v>
      </c>
      <c r="AP145" s="35">
        <f>I145*(1-1)</f>
        <v>0</v>
      </c>
      <c r="AQ145" s="85" t="s">
        <v>144</v>
      </c>
      <c r="AV145" s="35">
        <f>AW145+AX145</f>
        <v>1728</v>
      </c>
      <c r="AW145" s="35">
        <f>H145*AO145</f>
        <v>1728</v>
      </c>
      <c r="AX145" s="35">
        <f>H145*AP145</f>
        <v>0</v>
      </c>
      <c r="AY145" s="86" t="s">
        <v>1046</v>
      </c>
      <c r="AZ145" s="86" t="s">
        <v>1058</v>
      </c>
      <c r="BA145" s="83" t="s">
        <v>1077</v>
      </c>
      <c r="BC145" s="35">
        <f>AW145+AX145</f>
        <v>1728</v>
      </c>
      <c r="BD145" s="35">
        <f>I145/(100-BE145)*100</f>
        <v>288</v>
      </c>
      <c r="BE145" s="35">
        <v>0</v>
      </c>
      <c r="BF145" s="35">
        <f>145</f>
        <v>145</v>
      </c>
      <c r="BH145" s="65">
        <f>H145*AO145</f>
        <v>1728</v>
      </c>
      <c r="BI145" s="65">
        <f>H145*AP145</f>
        <v>0</v>
      </c>
      <c r="BJ145" s="65">
        <f>H145*I145</f>
        <v>1728</v>
      </c>
      <c r="BK145" s="65" t="s">
        <v>1001</v>
      </c>
      <c r="BL145" s="35">
        <v>751</v>
      </c>
    </row>
    <row r="146" spans="1:64" x14ac:dyDescent="0.2">
      <c r="A146" s="19"/>
      <c r="C146" s="59" t="s">
        <v>521</v>
      </c>
      <c r="D146" s="180" t="s">
        <v>916</v>
      </c>
      <c r="E146" s="181"/>
      <c r="F146" s="181"/>
      <c r="G146" s="181"/>
      <c r="H146" s="181"/>
      <c r="I146" s="182"/>
      <c r="J146" s="181"/>
      <c r="K146" s="181"/>
      <c r="L146" s="181"/>
      <c r="M146" s="183"/>
      <c r="N146" s="19"/>
    </row>
    <row r="147" spans="1:64" x14ac:dyDescent="0.2">
      <c r="A147" s="49" t="s">
        <v>201</v>
      </c>
      <c r="B147" s="57" t="s">
        <v>63</v>
      </c>
      <c r="C147" s="57" t="s">
        <v>587</v>
      </c>
      <c r="D147" s="186" t="s">
        <v>917</v>
      </c>
      <c r="E147" s="187"/>
      <c r="F147" s="187"/>
      <c r="G147" s="57" t="s">
        <v>1007</v>
      </c>
      <c r="H147" s="65">
        <v>1</v>
      </c>
      <c r="I147" s="73">
        <v>440</v>
      </c>
      <c r="J147" s="65">
        <f>H147*AO147</f>
        <v>440</v>
      </c>
      <c r="K147" s="65">
        <f>H147*AP147</f>
        <v>0</v>
      </c>
      <c r="L147" s="65">
        <f>H147*I147</f>
        <v>440</v>
      </c>
      <c r="M147" s="81"/>
      <c r="N147" s="19"/>
      <c r="Z147" s="35">
        <f>IF(AQ147="5",BJ147,0)</f>
        <v>0</v>
      </c>
      <c r="AB147" s="35">
        <f>IF(AQ147="1",BH147,0)</f>
        <v>0</v>
      </c>
      <c r="AC147" s="35">
        <f>IF(AQ147="1",BI147,0)</f>
        <v>0</v>
      </c>
      <c r="AD147" s="35">
        <f>IF(AQ147="7",BH147,0)</f>
        <v>440</v>
      </c>
      <c r="AE147" s="35">
        <f>IF(AQ147="7",BI147,0)</f>
        <v>0</v>
      </c>
      <c r="AF147" s="35">
        <f>IF(AQ147="2",BH147,0)</f>
        <v>0</v>
      </c>
      <c r="AG147" s="35">
        <f>IF(AQ147="2",BI147,0)</f>
        <v>0</v>
      </c>
      <c r="AH147" s="35">
        <f>IF(AQ147="0",BJ147,0)</f>
        <v>0</v>
      </c>
      <c r="AI147" s="83" t="s">
        <v>63</v>
      </c>
      <c r="AJ147" s="65">
        <f>IF(AN147=0,L147,0)</f>
        <v>0</v>
      </c>
      <c r="AK147" s="65">
        <f>IF(AN147=15,L147,0)</f>
        <v>0</v>
      </c>
      <c r="AL147" s="65">
        <f>IF(AN147=21,L147,0)</f>
        <v>440</v>
      </c>
      <c r="AN147" s="35">
        <v>21</v>
      </c>
      <c r="AO147" s="35">
        <f>I147*1</f>
        <v>440</v>
      </c>
      <c r="AP147" s="35">
        <f>I147*(1-1)</f>
        <v>0</v>
      </c>
      <c r="AQ147" s="85" t="s">
        <v>144</v>
      </c>
      <c r="AV147" s="35">
        <f>AW147+AX147</f>
        <v>440</v>
      </c>
      <c r="AW147" s="35">
        <f>H147*AO147</f>
        <v>440</v>
      </c>
      <c r="AX147" s="35">
        <f>H147*AP147</f>
        <v>0</v>
      </c>
      <c r="AY147" s="86" t="s">
        <v>1046</v>
      </c>
      <c r="AZ147" s="86" t="s">
        <v>1058</v>
      </c>
      <c r="BA147" s="83" t="s">
        <v>1077</v>
      </c>
      <c r="BC147" s="35">
        <f>AW147+AX147</f>
        <v>440</v>
      </c>
      <c r="BD147" s="35">
        <f>I147/(100-BE147)*100</f>
        <v>440.00000000000006</v>
      </c>
      <c r="BE147" s="35">
        <v>0</v>
      </c>
      <c r="BF147" s="35">
        <f>147</f>
        <v>147</v>
      </c>
      <c r="BH147" s="65">
        <f>H147*AO147</f>
        <v>440</v>
      </c>
      <c r="BI147" s="65">
        <f>H147*AP147</f>
        <v>0</v>
      </c>
      <c r="BJ147" s="65">
        <f>H147*I147</f>
        <v>440</v>
      </c>
      <c r="BK147" s="65" t="s">
        <v>1001</v>
      </c>
      <c r="BL147" s="35">
        <v>751</v>
      </c>
    </row>
    <row r="148" spans="1:64" x14ac:dyDescent="0.2">
      <c r="A148" s="19"/>
      <c r="C148" s="59" t="s">
        <v>521</v>
      </c>
      <c r="D148" s="180" t="s">
        <v>917</v>
      </c>
      <c r="E148" s="181"/>
      <c r="F148" s="181"/>
      <c r="G148" s="181"/>
      <c r="H148" s="181"/>
      <c r="I148" s="182"/>
      <c r="J148" s="181"/>
      <c r="K148" s="181"/>
      <c r="L148" s="181"/>
      <c r="M148" s="183"/>
      <c r="N148" s="19"/>
    </row>
    <row r="149" spans="1:64" x14ac:dyDescent="0.2">
      <c r="A149" s="47" t="s">
        <v>90</v>
      </c>
      <c r="B149" s="55" t="s">
        <v>63</v>
      </c>
      <c r="C149" s="55" t="s">
        <v>588</v>
      </c>
      <c r="D149" s="178" t="s">
        <v>918</v>
      </c>
      <c r="E149" s="179"/>
      <c r="F149" s="179"/>
      <c r="G149" s="55" t="s">
        <v>1001</v>
      </c>
      <c r="H149" s="64">
        <v>2</v>
      </c>
      <c r="I149" s="71">
        <v>145</v>
      </c>
      <c r="J149" s="64">
        <f>H149*AO149</f>
        <v>0</v>
      </c>
      <c r="K149" s="64">
        <f>H149*AP149</f>
        <v>290</v>
      </c>
      <c r="L149" s="64">
        <f>H149*I149</f>
        <v>290</v>
      </c>
      <c r="M149" s="79"/>
      <c r="N149" s="19"/>
      <c r="Z149" s="35">
        <f>IF(AQ149="5",BJ149,0)</f>
        <v>0</v>
      </c>
      <c r="AB149" s="35">
        <f>IF(AQ149="1",BH149,0)</f>
        <v>0</v>
      </c>
      <c r="AC149" s="35">
        <f>IF(AQ149="1",BI149,0)</f>
        <v>0</v>
      </c>
      <c r="AD149" s="35">
        <f>IF(AQ149="7",BH149,0)</f>
        <v>0</v>
      </c>
      <c r="AE149" s="35">
        <f>IF(AQ149="7",BI149,0)</f>
        <v>290</v>
      </c>
      <c r="AF149" s="35">
        <f>IF(AQ149="2",BH149,0)</f>
        <v>0</v>
      </c>
      <c r="AG149" s="35">
        <f>IF(AQ149="2",BI149,0)</f>
        <v>0</v>
      </c>
      <c r="AH149" s="35">
        <f>IF(AQ149="0",BJ149,0)</f>
        <v>0</v>
      </c>
      <c r="AI149" s="83" t="s">
        <v>63</v>
      </c>
      <c r="AJ149" s="64">
        <f>IF(AN149=0,L149,0)</f>
        <v>0</v>
      </c>
      <c r="AK149" s="64">
        <f>IF(AN149=15,L149,0)</f>
        <v>0</v>
      </c>
      <c r="AL149" s="64">
        <f>IF(AN149=21,L149,0)</f>
        <v>290</v>
      </c>
      <c r="AN149" s="35">
        <v>21</v>
      </c>
      <c r="AO149" s="35">
        <f>I149*0</f>
        <v>0</v>
      </c>
      <c r="AP149" s="35">
        <f>I149*(1-0)</f>
        <v>145</v>
      </c>
      <c r="AQ149" s="84" t="s">
        <v>144</v>
      </c>
      <c r="AV149" s="35">
        <f>AW149+AX149</f>
        <v>290</v>
      </c>
      <c r="AW149" s="35">
        <f>H149*AO149</f>
        <v>0</v>
      </c>
      <c r="AX149" s="35">
        <f>H149*AP149</f>
        <v>290</v>
      </c>
      <c r="AY149" s="86" t="s">
        <v>1046</v>
      </c>
      <c r="AZ149" s="86" t="s">
        <v>1058</v>
      </c>
      <c r="BA149" s="83" t="s">
        <v>1077</v>
      </c>
      <c r="BC149" s="35">
        <f>AW149+AX149</f>
        <v>290</v>
      </c>
      <c r="BD149" s="35">
        <f>I149/(100-BE149)*100</f>
        <v>145</v>
      </c>
      <c r="BE149" s="35">
        <v>0</v>
      </c>
      <c r="BF149" s="35">
        <f>149</f>
        <v>149</v>
      </c>
      <c r="BH149" s="64">
        <f>H149*AO149</f>
        <v>0</v>
      </c>
      <c r="BI149" s="64">
        <f>H149*AP149</f>
        <v>290</v>
      </c>
      <c r="BJ149" s="64">
        <f>H149*I149</f>
        <v>290</v>
      </c>
      <c r="BK149" s="64" t="s">
        <v>1086</v>
      </c>
      <c r="BL149" s="35">
        <v>751</v>
      </c>
    </row>
    <row r="150" spans="1:64" x14ac:dyDescent="0.2">
      <c r="A150" s="19"/>
      <c r="C150" s="59" t="s">
        <v>521</v>
      </c>
      <c r="D150" s="180" t="s">
        <v>919</v>
      </c>
      <c r="E150" s="181"/>
      <c r="F150" s="181"/>
      <c r="G150" s="181"/>
      <c r="H150" s="181"/>
      <c r="I150" s="182"/>
      <c r="J150" s="181"/>
      <c r="K150" s="181"/>
      <c r="L150" s="181"/>
      <c r="M150" s="183"/>
      <c r="N150" s="19"/>
    </row>
    <row r="151" spans="1:64" x14ac:dyDescent="0.2">
      <c r="A151" s="49" t="s">
        <v>91</v>
      </c>
      <c r="B151" s="57" t="s">
        <v>63</v>
      </c>
      <c r="C151" s="57" t="s">
        <v>589</v>
      </c>
      <c r="D151" s="186" t="s">
        <v>920</v>
      </c>
      <c r="E151" s="187"/>
      <c r="F151" s="187"/>
      <c r="G151" s="57" t="s">
        <v>1001</v>
      </c>
      <c r="H151" s="65">
        <v>2</v>
      </c>
      <c r="I151" s="73">
        <v>135</v>
      </c>
      <c r="J151" s="65">
        <f>H151*AO151</f>
        <v>270</v>
      </c>
      <c r="K151" s="65">
        <f>H151*AP151</f>
        <v>0</v>
      </c>
      <c r="L151" s="65">
        <f>H151*I151</f>
        <v>270</v>
      </c>
      <c r="M151" s="81"/>
      <c r="N151" s="19"/>
      <c r="Z151" s="35">
        <f>IF(AQ151="5",BJ151,0)</f>
        <v>0</v>
      </c>
      <c r="AB151" s="35">
        <f>IF(AQ151="1",BH151,0)</f>
        <v>0</v>
      </c>
      <c r="AC151" s="35">
        <f>IF(AQ151="1",BI151,0)</f>
        <v>0</v>
      </c>
      <c r="AD151" s="35">
        <f>IF(AQ151="7",BH151,0)</f>
        <v>270</v>
      </c>
      <c r="AE151" s="35">
        <f>IF(AQ151="7",BI151,0)</f>
        <v>0</v>
      </c>
      <c r="AF151" s="35">
        <f>IF(AQ151="2",BH151,0)</f>
        <v>0</v>
      </c>
      <c r="AG151" s="35">
        <f>IF(AQ151="2",BI151,0)</f>
        <v>0</v>
      </c>
      <c r="AH151" s="35">
        <f>IF(AQ151="0",BJ151,0)</f>
        <v>0</v>
      </c>
      <c r="AI151" s="83" t="s">
        <v>63</v>
      </c>
      <c r="AJ151" s="65">
        <f>IF(AN151=0,L151,0)</f>
        <v>0</v>
      </c>
      <c r="AK151" s="65">
        <f>IF(AN151=15,L151,0)</f>
        <v>0</v>
      </c>
      <c r="AL151" s="65">
        <f>IF(AN151=21,L151,0)</f>
        <v>270</v>
      </c>
      <c r="AN151" s="35">
        <v>21</v>
      </c>
      <c r="AO151" s="35">
        <f>I151*1</f>
        <v>135</v>
      </c>
      <c r="AP151" s="35">
        <f>I151*(1-1)</f>
        <v>0</v>
      </c>
      <c r="AQ151" s="85" t="s">
        <v>144</v>
      </c>
      <c r="AV151" s="35">
        <f>AW151+AX151</f>
        <v>270</v>
      </c>
      <c r="AW151" s="35">
        <f>H151*AO151</f>
        <v>270</v>
      </c>
      <c r="AX151" s="35">
        <f>H151*AP151</f>
        <v>0</v>
      </c>
      <c r="AY151" s="86" t="s">
        <v>1046</v>
      </c>
      <c r="AZ151" s="86" t="s">
        <v>1058</v>
      </c>
      <c r="BA151" s="83" t="s">
        <v>1077</v>
      </c>
      <c r="BC151" s="35">
        <f>AW151+AX151</f>
        <v>270</v>
      </c>
      <c r="BD151" s="35">
        <f>I151/(100-BE151)*100</f>
        <v>135</v>
      </c>
      <c r="BE151" s="35">
        <v>0</v>
      </c>
      <c r="BF151" s="35">
        <f>151</f>
        <v>151</v>
      </c>
      <c r="BH151" s="65">
        <f>H151*AO151</f>
        <v>270</v>
      </c>
      <c r="BI151" s="65">
        <f>H151*AP151</f>
        <v>0</v>
      </c>
      <c r="BJ151" s="65">
        <f>H151*I151</f>
        <v>270</v>
      </c>
      <c r="BK151" s="65" t="s">
        <v>1001</v>
      </c>
      <c r="BL151" s="35">
        <v>751</v>
      </c>
    </row>
    <row r="152" spans="1:64" x14ac:dyDescent="0.2">
      <c r="A152" s="19"/>
      <c r="C152" s="59" t="s">
        <v>521</v>
      </c>
      <c r="D152" s="180" t="s">
        <v>920</v>
      </c>
      <c r="E152" s="181"/>
      <c r="F152" s="181"/>
      <c r="G152" s="181"/>
      <c r="H152" s="181"/>
      <c r="I152" s="182"/>
      <c r="J152" s="181"/>
      <c r="K152" s="181"/>
      <c r="L152" s="181"/>
      <c r="M152" s="183"/>
      <c r="N152" s="19"/>
    </row>
    <row r="153" spans="1:64" x14ac:dyDescent="0.2">
      <c r="A153" s="47" t="s">
        <v>202</v>
      </c>
      <c r="B153" s="55" t="s">
        <v>63</v>
      </c>
      <c r="C153" s="55" t="s">
        <v>590</v>
      </c>
      <c r="D153" s="178" t="s">
        <v>921</v>
      </c>
      <c r="E153" s="179"/>
      <c r="F153" s="179"/>
      <c r="G153" s="55" t="s">
        <v>1001</v>
      </c>
      <c r="H153" s="64">
        <v>8</v>
      </c>
      <c r="I153" s="71">
        <v>207</v>
      </c>
      <c r="J153" s="64">
        <f>H153*AO153</f>
        <v>0</v>
      </c>
      <c r="K153" s="64">
        <f>H153*AP153</f>
        <v>1656</v>
      </c>
      <c r="L153" s="64">
        <f>H153*I153</f>
        <v>1656</v>
      </c>
      <c r="M153" s="79"/>
      <c r="N153" s="19"/>
      <c r="Z153" s="35">
        <f>IF(AQ153="5",BJ153,0)</f>
        <v>0</v>
      </c>
      <c r="AB153" s="35">
        <f>IF(AQ153="1",BH153,0)</f>
        <v>0</v>
      </c>
      <c r="AC153" s="35">
        <f>IF(AQ153="1",BI153,0)</f>
        <v>0</v>
      </c>
      <c r="AD153" s="35">
        <f>IF(AQ153="7",BH153,0)</f>
        <v>0</v>
      </c>
      <c r="AE153" s="35">
        <f>IF(AQ153="7",BI153,0)</f>
        <v>1656</v>
      </c>
      <c r="AF153" s="35">
        <f>IF(AQ153="2",BH153,0)</f>
        <v>0</v>
      </c>
      <c r="AG153" s="35">
        <f>IF(AQ153="2",BI153,0)</f>
        <v>0</v>
      </c>
      <c r="AH153" s="35">
        <f>IF(AQ153="0",BJ153,0)</f>
        <v>0</v>
      </c>
      <c r="AI153" s="83" t="s">
        <v>63</v>
      </c>
      <c r="AJ153" s="64">
        <f>IF(AN153=0,L153,0)</f>
        <v>0</v>
      </c>
      <c r="AK153" s="64">
        <f>IF(AN153=15,L153,0)</f>
        <v>0</v>
      </c>
      <c r="AL153" s="64">
        <f>IF(AN153=21,L153,0)</f>
        <v>1656</v>
      </c>
      <c r="AN153" s="35">
        <v>21</v>
      </c>
      <c r="AO153" s="35">
        <f>I153*0</f>
        <v>0</v>
      </c>
      <c r="AP153" s="35">
        <f>I153*(1-0)</f>
        <v>207</v>
      </c>
      <c r="AQ153" s="84" t="s">
        <v>144</v>
      </c>
      <c r="AV153" s="35">
        <f>AW153+AX153</f>
        <v>1656</v>
      </c>
      <c r="AW153" s="35">
        <f>H153*AO153</f>
        <v>0</v>
      </c>
      <c r="AX153" s="35">
        <f>H153*AP153</f>
        <v>1656</v>
      </c>
      <c r="AY153" s="86" t="s">
        <v>1046</v>
      </c>
      <c r="AZ153" s="86" t="s">
        <v>1058</v>
      </c>
      <c r="BA153" s="83" t="s">
        <v>1077</v>
      </c>
      <c r="BC153" s="35">
        <f>AW153+AX153</f>
        <v>1656</v>
      </c>
      <c r="BD153" s="35">
        <f>I153/(100-BE153)*100</f>
        <v>206.99999999999997</v>
      </c>
      <c r="BE153" s="35">
        <v>0</v>
      </c>
      <c r="BF153" s="35">
        <f>153</f>
        <v>153</v>
      </c>
      <c r="BH153" s="64">
        <f>H153*AO153</f>
        <v>0</v>
      </c>
      <c r="BI153" s="64">
        <f>H153*AP153</f>
        <v>1656</v>
      </c>
      <c r="BJ153" s="64">
        <f>H153*I153</f>
        <v>1656</v>
      </c>
      <c r="BK153" s="64" t="s">
        <v>1086</v>
      </c>
      <c r="BL153" s="35">
        <v>751</v>
      </c>
    </row>
    <row r="154" spans="1:64" x14ac:dyDescent="0.2">
      <c r="A154" s="19"/>
      <c r="C154" s="59" t="s">
        <v>521</v>
      </c>
      <c r="D154" s="180" t="s">
        <v>921</v>
      </c>
      <c r="E154" s="181"/>
      <c r="F154" s="181"/>
      <c r="G154" s="181"/>
      <c r="H154" s="181"/>
      <c r="I154" s="182"/>
      <c r="J154" s="181"/>
      <c r="K154" s="181"/>
      <c r="L154" s="181"/>
      <c r="M154" s="183"/>
      <c r="N154" s="19"/>
    </row>
    <row r="155" spans="1:64" x14ac:dyDescent="0.2">
      <c r="A155" s="49" t="s">
        <v>203</v>
      </c>
      <c r="B155" s="57" t="s">
        <v>63</v>
      </c>
      <c r="C155" s="57" t="s">
        <v>591</v>
      </c>
      <c r="D155" s="186" t="s">
        <v>922</v>
      </c>
      <c r="E155" s="187"/>
      <c r="F155" s="187"/>
      <c r="G155" s="57" t="s">
        <v>1001</v>
      </c>
      <c r="H155" s="65">
        <v>8</v>
      </c>
      <c r="I155" s="73">
        <v>318</v>
      </c>
      <c r="J155" s="65">
        <f>H155*AO155</f>
        <v>2544</v>
      </c>
      <c r="K155" s="65">
        <f>H155*AP155</f>
        <v>0</v>
      </c>
      <c r="L155" s="65">
        <f>H155*I155</f>
        <v>2544</v>
      </c>
      <c r="M155" s="81"/>
      <c r="N155" s="19"/>
      <c r="Z155" s="35">
        <f>IF(AQ155="5",BJ155,0)</f>
        <v>0</v>
      </c>
      <c r="AB155" s="35">
        <f>IF(AQ155="1",BH155,0)</f>
        <v>0</v>
      </c>
      <c r="AC155" s="35">
        <f>IF(AQ155="1",BI155,0)</f>
        <v>0</v>
      </c>
      <c r="AD155" s="35">
        <f>IF(AQ155="7",BH155,0)</f>
        <v>2544</v>
      </c>
      <c r="AE155" s="35">
        <f>IF(AQ155="7",BI155,0)</f>
        <v>0</v>
      </c>
      <c r="AF155" s="35">
        <f>IF(AQ155="2",BH155,0)</f>
        <v>0</v>
      </c>
      <c r="AG155" s="35">
        <f>IF(AQ155="2",BI155,0)</f>
        <v>0</v>
      </c>
      <c r="AH155" s="35">
        <f>IF(AQ155="0",BJ155,0)</f>
        <v>0</v>
      </c>
      <c r="AI155" s="83" t="s">
        <v>63</v>
      </c>
      <c r="AJ155" s="65">
        <f>IF(AN155=0,L155,0)</f>
        <v>0</v>
      </c>
      <c r="AK155" s="65">
        <f>IF(AN155=15,L155,0)</f>
        <v>0</v>
      </c>
      <c r="AL155" s="65">
        <f>IF(AN155=21,L155,0)</f>
        <v>2544</v>
      </c>
      <c r="AN155" s="35">
        <v>21</v>
      </c>
      <c r="AO155" s="35">
        <f>I155*1</f>
        <v>318</v>
      </c>
      <c r="AP155" s="35">
        <f>I155*(1-1)</f>
        <v>0</v>
      </c>
      <c r="AQ155" s="85" t="s">
        <v>144</v>
      </c>
      <c r="AV155" s="35">
        <f>AW155+AX155</f>
        <v>2544</v>
      </c>
      <c r="AW155" s="35">
        <f>H155*AO155</f>
        <v>2544</v>
      </c>
      <c r="AX155" s="35">
        <f>H155*AP155</f>
        <v>0</v>
      </c>
      <c r="AY155" s="86" t="s">
        <v>1046</v>
      </c>
      <c r="AZ155" s="86" t="s">
        <v>1058</v>
      </c>
      <c r="BA155" s="83" t="s">
        <v>1077</v>
      </c>
      <c r="BC155" s="35">
        <f>AW155+AX155</f>
        <v>2544</v>
      </c>
      <c r="BD155" s="35">
        <f>I155/(100-BE155)*100</f>
        <v>318</v>
      </c>
      <c r="BE155" s="35">
        <v>0</v>
      </c>
      <c r="BF155" s="35">
        <f>155</f>
        <v>155</v>
      </c>
      <c r="BH155" s="65">
        <f>H155*AO155</f>
        <v>2544</v>
      </c>
      <c r="BI155" s="65">
        <f>H155*AP155</f>
        <v>0</v>
      </c>
      <c r="BJ155" s="65">
        <f>H155*I155</f>
        <v>2544</v>
      </c>
      <c r="BK155" s="65" t="s">
        <v>1001</v>
      </c>
      <c r="BL155" s="35">
        <v>751</v>
      </c>
    </row>
    <row r="156" spans="1:64" x14ac:dyDescent="0.2">
      <c r="A156" s="19"/>
      <c r="C156" s="59" t="s">
        <v>521</v>
      </c>
      <c r="D156" s="180" t="s">
        <v>922</v>
      </c>
      <c r="E156" s="181"/>
      <c r="F156" s="181"/>
      <c r="G156" s="181"/>
      <c r="H156" s="181"/>
      <c r="I156" s="182"/>
      <c r="J156" s="181"/>
      <c r="K156" s="181"/>
      <c r="L156" s="181"/>
      <c r="M156" s="183"/>
      <c r="N156" s="19"/>
    </row>
    <row r="157" spans="1:64" x14ac:dyDescent="0.2">
      <c r="A157" s="47" t="s">
        <v>204</v>
      </c>
      <c r="B157" s="55" t="s">
        <v>63</v>
      </c>
      <c r="C157" s="55" t="s">
        <v>592</v>
      </c>
      <c r="D157" s="178" t="s">
        <v>923</v>
      </c>
      <c r="E157" s="179"/>
      <c r="F157" s="179"/>
      <c r="G157" s="55" t="s">
        <v>1003</v>
      </c>
      <c r="H157" s="64">
        <v>2</v>
      </c>
      <c r="I157" s="71">
        <v>99</v>
      </c>
      <c r="J157" s="64">
        <f>H157*AO157</f>
        <v>0</v>
      </c>
      <c r="K157" s="64">
        <f>H157*AP157</f>
        <v>198</v>
      </c>
      <c r="L157" s="64">
        <f>H157*I157</f>
        <v>198</v>
      </c>
      <c r="M157" s="79"/>
      <c r="N157" s="19"/>
      <c r="Z157" s="35">
        <f>IF(AQ157="5",BJ157,0)</f>
        <v>0</v>
      </c>
      <c r="AB157" s="35">
        <f>IF(AQ157="1",BH157,0)</f>
        <v>0</v>
      </c>
      <c r="AC157" s="35">
        <f>IF(AQ157="1",BI157,0)</f>
        <v>0</v>
      </c>
      <c r="AD157" s="35">
        <f>IF(AQ157="7",BH157,0)</f>
        <v>0</v>
      </c>
      <c r="AE157" s="35">
        <f>IF(AQ157="7",BI157,0)</f>
        <v>198</v>
      </c>
      <c r="AF157" s="35">
        <f>IF(AQ157="2",BH157,0)</f>
        <v>0</v>
      </c>
      <c r="AG157" s="35">
        <f>IF(AQ157="2",BI157,0)</f>
        <v>0</v>
      </c>
      <c r="AH157" s="35">
        <f>IF(AQ157="0",BJ157,0)</f>
        <v>0</v>
      </c>
      <c r="AI157" s="83" t="s">
        <v>63</v>
      </c>
      <c r="AJ157" s="64">
        <f>IF(AN157=0,L157,0)</f>
        <v>0</v>
      </c>
      <c r="AK157" s="64">
        <f>IF(AN157=15,L157,0)</f>
        <v>0</v>
      </c>
      <c r="AL157" s="64">
        <f>IF(AN157=21,L157,0)</f>
        <v>198</v>
      </c>
      <c r="AN157" s="35">
        <v>21</v>
      </c>
      <c r="AO157" s="35">
        <f>I157*0</f>
        <v>0</v>
      </c>
      <c r="AP157" s="35">
        <f>I157*(1-0)</f>
        <v>99</v>
      </c>
      <c r="AQ157" s="84" t="s">
        <v>144</v>
      </c>
      <c r="AV157" s="35">
        <f>AW157+AX157</f>
        <v>198</v>
      </c>
      <c r="AW157" s="35">
        <f>H157*AO157</f>
        <v>0</v>
      </c>
      <c r="AX157" s="35">
        <f>H157*AP157</f>
        <v>198</v>
      </c>
      <c r="AY157" s="86" t="s">
        <v>1046</v>
      </c>
      <c r="AZ157" s="86" t="s">
        <v>1058</v>
      </c>
      <c r="BA157" s="83" t="s">
        <v>1077</v>
      </c>
      <c r="BC157" s="35">
        <f>AW157+AX157</f>
        <v>198</v>
      </c>
      <c r="BD157" s="35">
        <f>I157/(100-BE157)*100</f>
        <v>99</v>
      </c>
      <c r="BE157" s="35">
        <v>0</v>
      </c>
      <c r="BF157" s="35">
        <f>157</f>
        <v>157</v>
      </c>
      <c r="BH157" s="64">
        <f>H157*AO157</f>
        <v>0</v>
      </c>
      <c r="BI157" s="64">
        <f>H157*AP157</f>
        <v>198</v>
      </c>
      <c r="BJ157" s="64">
        <f>H157*I157</f>
        <v>198</v>
      </c>
      <c r="BK157" s="64" t="s">
        <v>1086</v>
      </c>
      <c r="BL157" s="35">
        <v>751</v>
      </c>
    </row>
    <row r="158" spans="1:64" x14ac:dyDescent="0.2">
      <c r="A158" s="19"/>
      <c r="C158" s="59" t="s">
        <v>521</v>
      </c>
      <c r="D158" s="180" t="s">
        <v>924</v>
      </c>
      <c r="E158" s="181"/>
      <c r="F158" s="181"/>
      <c r="G158" s="181"/>
      <c r="H158" s="181"/>
      <c r="I158" s="182"/>
      <c r="J158" s="181"/>
      <c r="K158" s="181"/>
      <c r="L158" s="181"/>
      <c r="M158" s="183"/>
      <c r="N158" s="19"/>
    </row>
    <row r="159" spans="1:64" x14ac:dyDescent="0.2">
      <c r="A159" s="49" t="s">
        <v>205</v>
      </c>
      <c r="B159" s="57" t="s">
        <v>63</v>
      </c>
      <c r="C159" s="57" t="s">
        <v>593</v>
      </c>
      <c r="D159" s="186" t="s">
        <v>925</v>
      </c>
      <c r="E159" s="187"/>
      <c r="F159" s="187"/>
      <c r="G159" s="57" t="s">
        <v>1003</v>
      </c>
      <c r="H159" s="65">
        <v>2</v>
      </c>
      <c r="I159" s="73">
        <v>211</v>
      </c>
      <c r="J159" s="65">
        <f>H159*AO159</f>
        <v>422</v>
      </c>
      <c r="K159" s="65">
        <f>H159*AP159</f>
        <v>0</v>
      </c>
      <c r="L159" s="65">
        <f>H159*I159</f>
        <v>422</v>
      </c>
      <c r="M159" s="81"/>
      <c r="N159" s="19"/>
      <c r="Z159" s="35">
        <f>IF(AQ159="5",BJ159,0)</f>
        <v>0</v>
      </c>
      <c r="AB159" s="35">
        <f>IF(AQ159="1",BH159,0)</f>
        <v>0</v>
      </c>
      <c r="AC159" s="35">
        <f>IF(AQ159="1",BI159,0)</f>
        <v>0</v>
      </c>
      <c r="AD159" s="35">
        <f>IF(AQ159="7",BH159,0)</f>
        <v>422</v>
      </c>
      <c r="AE159" s="35">
        <f>IF(AQ159="7",BI159,0)</f>
        <v>0</v>
      </c>
      <c r="AF159" s="35">
        <f>IF(AQ159="2",BH159,0)</f>
        <v>0</v>
      </c>
      <c r="AG159" s="35">
        <f>IF(AQ159="2",BI159,0)</f>
        <v>0</v>
      </c>
      <c r="AH159" s="35">
        <f>IF(AQ159="0",BJ159,0)</f>
        <v>0</v>
      </c>
      <c r="AI159" s="83" t="s">
        <v>63</v>
      </c>
      <c r="AJ159" s="65">
        <f>IF(AN159=0,L159,0)</f>
        <v>0</v>
      </c>
      <c r="AK159" s="65">
        <f>IF(AN159=15,L159,0)</f>
        <v>0</v>
      </c>
      <c r="AL159" s="65">
        <f>IF(AN159=21,L159,0)</f>
        <v>422</v>
      </c>
      <c r="AN159" s="35">
        <v>21</v>
      </c>
      <c r="AO159" s="35">
        <f>I159*1</f>
        <v>211</v>
      </c>
      <c r="AP159" s="35">
        <f>I159*(1-1)</f>
        <v>0</v>
      </c>
      <c r="AQ159" s="85" t="s">
        <v>144</v>
      </c>
      <c r="AV159" s="35">
        <f>AW159+AX159</f>
        <v>422</v>
      </c>
      <c r="AW159" s="35">
        <f>H159*AO159</f>
        <v>422</v>
      </c>
      <c r="AX159" s="35">
        <f>H159*AP159</f>
        <v>0</v>
      </c>
      <c r="AY159" s="86" t="s">
        <v>1046</v>
      </c>
      <c r="AZ159" s="86" t="s">
        <v>1058</v>
      </c>
      <c r="BA159" s="83" t="s">
        <v>1077</v>
      </c>
      <c r="BC159" s="35">
        <f>AW159+AX159</f>
        <v>422</v>
      </c>
      <c r="BD159" s="35">
        <f>I159/(100-BE159)*100</f>
        <v>211</v>
      </c>
      <c r="BE159" s="35">
        <v>0</v>
      </c>
      <c r="BF159" s="35">
        <f>159</f>
        <v>159</v>
      </c>
      <c r="BH159" s="65">
        <f>H159*AO159</f>
        <v>422</v>
      </c>
      <c r="BI159" s="65">
        <f>H159*AP159</f>
        <v>0</v>
      </c>
      <c r="BJ159" s="65">
        <f>H159*I159</f>
        <v>422</v>
      </c>
      <c r="BK159" s="65" t="s">
        <v>1001</v>
      </c>
      <c r="BL159" s="35">
        <v>751</v>
      </c>
    </row>
    <row r="160" spans="1:64" x14ac:dyDescent="0.2">
      <c r="A160" s="19"/>
      <c r="C160" s="59" t="s">
        <v>521</v>
      </c>
      <c r="D160" s="180" t="s">
        <v>925</v>
      </c>
      <c r="E160" s="181"/>
      <c r="F160" s="181"/>
      <c r="G160" s="181"/>
      <c r="H160" s="181"/>
      <c r="I160" s="182"/>
      <c r="J160" s="181"/>
      <c r="K160" s="181"/>
      <c r="L160" s="181"/>
      <c r="M160" s="183"/>
      <c r="N160" s="19"/>
    </row>
    <row r="161" spans="1:64" x14ac:dyDescent="0.2">
      <c r="A161" s="47" t="s">
        <v>206</v>
      </c>
      <c r="B161" s="55" t="s">
        <v>63</v>
      </c>
      <c r="C161" s="55" t="s">
        <v>594</v>
      </c>
      <c r="D161" s="178" t="s">
        <v>926</v>
      </c>
      <c r="E161" s="179"/>
      <c r="F161" s="179"/>
      <c r="G161" s="55" t="s">
        <v>1003</v>
      </c>
      <c r="H161" s="64">
        <v>4</v>
      </c>
      <c r="I161" s="71">
        <v>121</v>
      </c>
      <c r="J161" s="64">
        <f>H161*AO161</f>
        <v>0</v>
      </c>
      <c r="K161" s="64">
        <f>H161*AP161</f>
        <v>484</v>
      </c>
      <c r="L161" s="64">
        <f>H161*I161</f>
        <v>484</v>
      </c>
      <c r="M161" s="79"/>
      <c r="N161" s="19"/>
      <c r="Z161" s="35">
        <f>IF(AQ161="5",BJ161,0)</f>
        <v>0</v>
      </c>
      <c r="AB161" s="35">
        <f>IF(AQ161="1",BH161,0)</f>
        <v>0</v>
      </c>
      <c r="AC161" s="35">
        <f>IF(AQ161="1",BI161,0)</f>
        <v>0</v>
      </c>
      <c r="AD161" s="35">
        <f>IF(AQ161="7",BH161,0)</f>
        <v>0</v>
      </c>
      <c r="AE161" s="35">
        <f>IF(AQ161="7",BI161,0)</f>
        <v>484</v>
      </c>
      <c r="AF161" s="35">
        <f>IF(AQ161="2",BH161,0)</f>
        <v>0</v>
      </c>
      <c r="AG161" s="35">
        <f>IF(AQ161="2",BI161,0)</f>
        <v>0</v>
      </c>
      <c r="AH161" s="35">
        <f>IF(AQ161="0",BJ161,0)</f>
        <v>0</v>
      </c>
      <c r="AI161" s="83" t="s">
        <v>63</v>
      </c>
      <c r="AJ161" s="64">
        <f>IF(AN161=0,L161,0)</f>
        <v>0</v>
      </c>
      <c r="AK161" s="64">
        <f>IF(AN161=15,L161,0)</f>
        <v>0</v>
      </c>
      <c r="AL161" s="64">
        <f>IF(AN161=21,L161,0)</f>
        <v>484</v>
      </c>
      <c r="AN161" s="35">
        <v>21</v>
      </c>
      <c r="AO161" s="35">
        <f>I161*0</f>
        <v>0</v>
      </c>
      <c r="AP161" s="35">
        <f>I161*(1-0)</f>
        <v>121</v>
      </c>
      <c r="AQ161" s="84" t="s">
        <v>144</v>
      </c>
      <c r="AV161" s="35">
        <f>AW161+AX161</f>
        <v>484</v>
      </c>
      <c r="AW161" s="35">
        <f>H161*AO161</f>
        <v>0</v>
      </c>
      <c r="AX161" s="35">
        <f>H161*AP161</f>
        <v>484</v>
      </c>
      <c r="AY161" s="86" t="s">
        <v>1046</v>
      </c>
      <c r="AZ161" s="86" t="s">
        <v>1058</v>
      </c>
      <c r="BA161" s="83" t="s">
        <v>1077</v>
      </c>
      <c r="BC161" s="35">
        <f>AW161+AX161</f>
        <v>484</v>
      </c>
      <c r="BD161" s="35">
        <f>I161/(100-BE161)*100</f>
        <v>121</v>
      </c>
      <c r="BE161" s="35">
        <v>0</v>
      </c>
      <c r="BF161" s="35">
        <f>161</f>
        <v>161</v>
      </c>
      <c r="BH161" s="64">
        <f>H161*AO161</f>
        <v>0</v>
      </c>
      <c r="BI161" s="64">
        <f>H161*AP161</f>
        <v>484</v>
      </c>
      <c r="BJ161" s="64">
        <f>H161*I161</f>
        <v>484</v>
      </c>
      <c r="BK161" s="64" t="s">
        <v>1086</v>
      </c>
      <c r="BL161" s="35">
        <v>751</v>
      </c>
    </row>
    <row r="162" spans="1:64" x14ac:dyDescent="0.2">
      <c r="A162" s="19"/>
      <c r="C162" s="59" t="s">
        <v>521</v>
      </c>
      <c r="D162" s="180" t="s">
        <v>927</v>
      </c>
      <c r="E162" s="181"/>
      <c r="F162" s="181"/>
      <c r="G162" s="181"/>
      <c r="H162" s="181"/>
      <c r="I162" s="182"/>
      <c r="J162" s="181"/>
      <c r="K162" s="181"/>
      <c r="L162" s="181"/>
      <c r="M162" s="183"/>
      <c r="N162" s="19"/>
    </row>
    <row r="163" spans="1:64" x14ac:dyDescent="0.2">
      <c r="A163" s="49" t="s">
        <v>207</v>
      </c>
      <c r="B163" s="57" t="s">
        <v>63</v>
      </c>
      <c r="C163" s="57" t="s">
        <v>595</v>
      </c>
      <c r="D163" s="186" t="s">
        <v>928</v>
      </c>
      <c r="E163" s="187"/>
      <c r="F163" s="187"/>
      <c r="G163" s="57" t="s">
        <v>1003</v>
      </c>
      <c r="H163" s="65">
        <v>4</v>
      </c>
      <c r="I163" s="73">
        <v>397</v>
      </c>
      <c r="J163" s="65">
        <f>H163*AO163</f>
        <v>1588</v>
      </c>
      <c r="K163" s="65">
        <f>H163*AP163</f>
        <v>0</v>
      </c>
      <c r="L163" s="65">
        <f>H163*I163</f>
        <v>1588</v>
      </c>
      <c r="M163" s="81"/>
      <c r="N163" s="19"/>
      <c r="Z163" s="35">
        <f>IF(AQ163="5",BJ163,0)</f>
        <v>0</v>
      </c>
      <c r="AB163" s="35">
        <f>IF(AQ163="1",BH163,0)</f>
        <v>0</v>
      </c>
      <c r="AC163" s="35">
        <f>IF(AQ163="1",BI163,0)</f>
        <v>0</v>
      </c>
      <c r="AD163" s="35">
        <f>IF(AQ163="7",BH163,0)</f>
        <v>1588</v>
      </c>
      <c r="AE163" s="35">
        <f>IF(AQ163="7",BI163,0)</f>
        <v>0</v>
      </c>
      <c r="AF163" s="35">
        <f>IF(AQ163="2",BH163,0)</f>
        <v>0</v>
      </c>
      <c r="AG163" s="35">
        <f>IF(AQ163="2",BI163,0)</f>
        <v>0</v>
      </c>
      <c r="AH163" s="35">
        <f>IF(AQ163="0",BJ163,0)</f>
        <v>0</v>
      </c>
      <c r="AI163" s="83" t="s">
        <v>63</v>
      </c>
      <c r="AJ163" s="65">
        <f>IF(AN163=0,L163,0)</f>
        <v>0</v>
      </c>
      <c r="AK163" s="65">
        <f>IF(AN163=15,L163,0)</f>
        <v>0</v>
      </c>
      <c r="AL163" s="65">
        <f>IF(AN163=21,L163,0)</f>
        <v>1588</v>
      </c>
      <c r="AN163" s="35">
        <v>21</v>
      </c>
      <c r="AO163" s="35">
        <f>I163*1</f>
        <v>397</v>
      </c>
      <c r="AP163" s="35">
        <f>I163*(1-1)</f>
        <v>0</v>
      </c>
      <c r="AQ163" s="85" t="s">
        <v>144</v>
      </c>
      <c r="AV163" s="35">
        <f>AW163+AX163</f>
        <v>1588</v>
      </c>
      <c r="AW163" s="35">
        <f>H163*AO163</f>
        <v>1588</v>
      </c>
      <c r="AX163" s="35">
        <f>H163*AP163</f>
        <v>0</v>
      </c>
      <c r="AY163" s="86" t="s">
        <v>1046</v>
      </c>
      <c r="AZ163" s="86" t="s">
        <v>1058</v>
      </c>
      <c r="BA163" s="83" t="s">
        <v>1077</v>
      </c>
      <c r="BC163" s="35">
        <f>AW163+AX163</f>
        <v>1588</v>
      </c>
      <c r="BD163" s="35">
        <f>I163/(100-BE163)*100</f>
        <v>397</v>
      </c>
      <c r="BE163" s="35">
        <v>0</v>
      </c>
      <c r="BF163" s="35">
        <f>163</f>
        <v>163</v>
      </c>
      <c r="BH163" s="65">
        <f>H163*AO163</f>
        <v>1588</v>
      </c>
      <c r="BI163" s="65">
        <f>H163*AP163</f>
        <v>0</v>
      </c>
      <c r="BJ163" s="65">
        <f>H163*I163</f>
        <v>1588</v>
      </c>
      <c r="BK163" s="65" t="s">
        <v>1001</v>
      </c>
      <c r="BL163" s="35">
        <v>751</v>
      </c>
    </row>
    <row r="164" spans="1:64" x14ac:dyDescent="0.2">
      <c r="A164" s="19"/>
      <c r="C164" s="59" t="s">
        <v>521</v>
      </c>
      <c r="D164" s="180" t="s">
        <v>928</v>
      </c>
      <c r="E164" s="181"/>
      <c r="F164" s="181"/>
      <c r="G164" s="181"/>
      <c r="H164" s="181"/>
      <c r="I164" s="182"/>
      <c r="J164" s="181"/>
      <c r="K164" s="181"/>
      <c r="L164" s="181"/>
      <c r="M164" s="183"/>
      <c r="N164" s="19"/>
    </row>
    <row r="165" spans="1:64" x14ac:dyDescent="0.2">
      <c r="A165" s="47" t="s">
        <v>208</v>
      </c>
      <c r="B165" s="55" t="s">
        <v>63</v>
      </c>
      <c r="C165" s="55" t="s">
        <v>596</v>
      </c>
      <c r="D165" s="178" t="s">
        <v>929</v>
      </c>
      <c r="E165" s="179"/>
      <c r="F165" s="179"/>
      <c r="G165" s="55" t="s">
        <v>1001</v>
      </c>
      <c r="H165" s="64">
        <v>26</v>
      </c>
      <c r="I165" s="71">
        <v>336</v>
      </c>
      <c r="J165" s="64">
        <f>H165*AO165</f>
        <v>0</v>
      </c>
      <c r="K165" s="64">
        <f>H165*AP165</f>
        <v>8736</v>
      </c>
      <c r="L165" s="64">
        <f>H165*I165</f>
        <v>8736</v>
      </c>
      <c r="M165" s="79"/>
      <c r="N165" s="19"/>
      <c r="Z165" s="35">
        <f>IF(AQ165="5",BJ165,0)</f>
        <v>0</v>
      </c>
      <c r="AB165" s="35">
        <f>IF(AQ165="1",BH165,0)</f>
        <v>0</v>
      </c>
      <c r="AC165" s="35">
        <f>IF(AQ165="1",BI165,0)</f>
        <v>0</v>
      </c>
      <c r="AD165" s="35">
        <f>IF(AQ165="7",BH165,0)</f>
        <v>0</v>
      </c>
      <c r="AE165" s="35">
        <f>IF(AQ165="7",BI165,0)</f>
        <v>8736</v>
      </c>
      <c r="AF165" s="35">
        <f>IF(AQ165="2",BH165,0)</f>
        <v>0</v>
      </c>
      <c r="AG165" s="35">
        <f>IF(AQ165="2",BI165,0)</f>
        <v>0</v>
      </c>
      <c r="AH165" s="35">
        <f>IF(AQ165="0",BJ165,0)</f>
        <v>0</v>
      </c>
      <c r="AI165" s="83" t="s">
        <v>63</v>
      </c>
      <c r="AJ165" s="64">
        <f>IF(AN165=0,L165,0)</f>
        <v>0</v>
      </c>
      <c r="AK165" s="64">
        <f>IF(AN165=15,L165,0)</f>
        <v>0</v>
      </c>
      <c r="AL165" s="64">
        <f>IF(AN165=21,L165,0)</f>
        <v>8736</v>
      </c>
      <c r="AN165" s="35">
        <v>21</v>
      </c>
      <c r="AO165" s="35">
        <f>I165*0</f>
        <v>0</v>
      </c>
      <c r="AP165" s="35">
        <f>I165*(1-0)</f>
        <v>336</v>
      </c>
      <c r="AQ165" s="84" t="s">
        <v>144</v>
      </c>
      <c r="AV165" s="35">
        <f>AW165+AX165</f>
        <v>8736</v>
      </c>
      <c r="AW165" s="35">
        <f>H165*AO165</f>
        <v>0</v>
      </c>
      <c r="AX165" s="35">
        <f>H165*AP165</f>
        <v>8736</v>
      </c>
      <c r="AY165" s="86" t="s">
        <v>1046</v>
      </c>
      <c r="AZ165" s="86" t="s">
        <v>1058</v>
      </c>
      <c r="BA165" s="83" t="s">
        <v>1077</v>
      </c>
      <c r="BC165" s="35">
        <f>AW165+AX165</f>
        <v>8736</v>
      </c>
      <c r="BD165" s="35">
        <f>I165/(100-BE165)*100</f>
        <v>336</v>
      </c>
      <c r="BE165" s="35">
        <v>0</v>
      </c>
      <c r="BF165" s="35">
        <f>165</f>
        <v>165</v>
      </c>
      <c r="BH165" s="64">
        <f>H165*AO165</f>
        <v>0</v>
      </c>
      <c r="BI165" s="64">
        <f>H165*AP165</f>
        <v>8736</v>
      </c>
      <c r="BJ165" s="64">
        <f>H165*I165</f>
        <v>8736</v>
      </c>
      <c r="BK165" s="64" t="s">
        <v>1086</v>
      </c>
      <c r="BL165" s="35">
        <v>751</v>
      </c>
    </row>
    <row r="166" spans="1:64" x14ac:dyDescent="0.2">
      <c r="A166" s="19"/>
      <c r="C166" s="59" t="s">
        <v>521</v>
      </c>
      <c r="D166" s="180" t="s">
        <v>929</v>
      </c>
      <c r="E166" s="181"/>
      <c r="F166" s="181"/>
      <c r="G166" s="181"/>
      <c r="H166" s="181"/>
      <c r="I166" s="182"/>
      <c r="J166" s="181"/>
      <c r="K166" s="181"/>
      <c r="L166" s="181"/>
      <c r="M166" s="183"/>
      <c r="N166" s="19"/>
    </row>
    <row r="167" spans="1:64" x14ac:dyDescent="0.2">
      <c r="A167" s="49" t="s">
        <v>209</v>
      </c>
      <c r="B167" s="57" t="s">
        <v>63</v>
      </c>
      <c r="C167" s="57" t="s">
        <v>597</v>
      </c>
      <c r="D167" s="186" t="s">
        <v>930</v>
      </c>
      <c r="E167" s="187"/>
      <c r="F167" s="187"/>
      <c r="G167" s="57" t="s">
        <v>1001</v>
      </c>
      <c r="H167" s="65">
        <v>5</v>
      </c>
      <c r="I167" s="73">
        <v>401</v>
      </c>
      <c r="J167" s="65">
        <f>H167*AO167</f>
        <v>2005</v>
      </c>
      <c r="K167" s="65">
        <f>H167*AP167</f>
        <v>0</v>
      </c>
      <c r="L167" s="65">
        <f>H167*I167</f>
        <v>2005</v>
      </c>
      <c r="M167" s="81"/>
      <c r="N167" s="19"/>
      <c r="Z167" s="35">
        <f>IF(AQ167="5",BJ167,0)</f>
        <v>0</v>
      </c>
      <c r="AB167" s="35">
        <f>IF(AQ167="1",BH167,0)</f>
        <v>0</v>
      </c>
      <c r="AC167" s="35">
        <f>IF(AQ167="1",BI167,0)</f>
        <v>0</v>
      </c>
      <c r="AD167" s="35">
        <f>IF(AQ167="7",BH167,0)</f>
        <v>2005</v>
      </c>
      <c r="AE167" s="35">
        <f>IF(AQ167="7",BI167,0)</f>
        <v>0</v>
      </c>
      <c r="AF167" s="35">
        <f>IF(AQ167="2",BH167,0)</f>
        <v>0</v>
      </c>
      <c r="AG167" s="35">
        <f>IF(AQ167="2",BI167,0)</f>
        <v>0</v>
      </c>
      <c r="AH167" s="35">
        <f>IF(AQ167="0",BJ167,0)</f>
        <v>0</v>
      </c>
      <c r="AI167" s="83" t="s">
        <v>63</v>
      </c>
      <c r="AJ167" s="65">
        <f>IF(AN167=0,L167,0)</f>
        <v>0</v>
      </c>
      <c r="AK167" s="65">
        <f>IF(AN167=15,L167,0)</f>
        <v>0</v>
      </c>
      <c r="AL167" s="65">
        <f>IF(AN167=21,L167,0)</f>
        <v>2005</v>
      </c>
      <c r="AN167" s="35">
        <v>21</v>
      </c>
      <c r="AO167" s="35">
        <f>I167*1</f>
        <v>401</v>
      </c>
      <c r="AP167" s="35">
        <f>I167*(1-1)</f>
        <v>0</v>
      </c>
      <c r="AQ167" s="85" t="s">
        <v>144</v>
      </c>
      <c r="AV167" s="35">
        <f>AW167+AX167</f>
        <v>2005</v>
      </c>
      <c r="AW167" s="35">
        <f>H167*AO167</f>
        <v>2005</v>
      </c>
      <c r="AX167" s="35">
        <f>H167*AP167</f>
        <v>0</v>
      </c>
      <c r="AY167" s="86" t="s">
        <v>1046</v>
      </c>
      <c r="AZ167" s="86" t="s">
        <v>1058</v>
      </c>
      <c r="BA167" s="83" t="s">
        <v>1077</v>
      </c>
      <c r="BC167" s="35">
        <f>AW167+AX167</f>
        <v>2005</v>
      </c>
      <c r="BD167" s="35">
        <f>I167/(100-BE167)*100</f>
        <v>401</v>
      </c>
      <c r="BE167" s="35">
        <v>0</v>
      </c>
      <c r="BF167" s="35">
        <f>167</f>
        <v>167</v>
      </c>
      <c r="BH167" s="65">
        <f>H167*AO167</f>
        <v>2005</v>
      </c>
      <c r="BI167" s="65">
        <f>H167*AP167</f>
        <v>0</v>
      </c>
      <c r="BJ167" s="65">
        <f>H167*I167</f>
        <v>2005</v>
      </c>
      <c r="BK167" s="65" t="s">
        <v>1001</v>
      </c>
      <c r="BL167" s="35">
        <v>751</v>
      </c>
    </row>
    <row r="168" spans="1:64" x14ac:dyDescent="0.2">
      <c r="A168" s="19"/>
      <c r="C168" s="59" t="s">
        <v>521</v>
      </c>
      <c r="D168" s="180" t="s">
        <v>930</v>
      </c>
      <c r="E168" s="181"/>
      <c r="F168" s="181"/>
      <c r="G168" s="181"/>
      <c r="H168" s="181"/>
      <c r="I168" s="182"/>
      <c r="J168" s="181"/>
      <c r="K168" s="181"/>
      <c r="L168" s="181"/>
      <c r="M168" s="183"/>
      <c r="N168" s="19"/>
    </row>
    <row r="169" spans="1:64" x14ac:dyDescent="0.2">
      <c r="A169" s="49" t="s">
        <v>210</v>
      </c>
      <c r="B169" s="57" t="s">
        <v>63</v>
      </c>
      <c r="C169" s="57" t="s">
        <v>598</v>
      </c>
      <c r="D169" s="186" t="s">
        <v>931</v>
      </c>
      <c r="E169" s="187"/>
      <c r="F169" s="187"/>
      <c r="G169" s="57" t="s">
        <v>1001</v>
      </c>
      <c r="H169" s="65">
        <v>3</v>
      </c>
      <c r="I169" s="73">
        <v>401</v>
      </c>
      <c r="J169" s="65">
        <f>H169*AO169</f>
        <v>1203</v>
      </c>
      <c r="K169" s="65">
        <f>H169*AP169</f>
        <v>0</v>
      </c>
      <c r="L169" s="65">
        <f>H169*I169</f>
        <v>1203</v>
      </c>
      <c r="M169" s="81"/>
      <c r="N169" s="19"/>
      <c r="Z169" s="35">
        <f>IF(AQ169="5",BJ169,0)</f>
        <v>0</v>
      </c>
      <c r="AB169" s="35">
        <f>IF(AQ169="1",BH169,0)</f>
        <v>0</v>
      </c>
      <c r="AC169" s="35">
        <f>IF(AQ169="1",BI169,0)</f>
        <v>0</v>
      </c>
      <c r="AD169" s="35">
        <f>IF(AQ169="7",BH169,0)</f>
        <v>1203</v>
      </c>
      <c r="AE169" s="35">
        <f>IF(AQ169="7",BI169,0)</f>
        <v>0</v>
      </c>
      <c r="AF169" s="35">
        <f>IF(AQ169="2",BH169,0)</f>
        <v>0</v>
      </c>
      <c r="AG169" s="35">
        <f>IF(AQ169="2",BI169,0)</f>
        <v>0</v>
      </c>
      <c r="AH169" s="35">
        <f>IF(AQ169="0",BJ169,0)</f>
        <v>0</v>
      </c>
      <c r="AI169" s="83" t="s">
        <v>63</v>
      </c>
      <c r="AJ169" s="65">
        <f>IF(AN169=0,L169,0)</f>
        <v>0</v>
      </c>
      <c r="AK169" s="65">
        <f>IF(AN169=15,L169,0)</f>
        <v>0</v>
      </c>
      <c r="AL169" s="65">
        <f>IF(AN169=21,L169,0)</f>
        <v>1203</v>
      </c>
      <c r="AN169" s="35">
        <v>21</v>
      </c>
      <c r="AO169" s="35">
        <f>I169*1</f>
        <v>401</v>
      </c>
      <c r="AP169" s="35">
        <f>I169*(1-1)</f>
        <v>0</v>
      </c>
      <c r="AQ169" s="85" t="s">
        <v>144</v>
      </c>
      <c r="AV169" s="35">
        <f>AW169+AX169</f>
        <v>1203</v>
      </c>
      <c r="AW169" s="35">
        <f>H169*AO169</f>
        <v>1203</v>
      </c>
      <c r="AX169" s="35">
        <f>H169*AP169</f>
        <v>0</v>
      </c>
      <c r="AY169" s="86" t="s">
        <v>1046</v>
      </c>
      <c r="AZ169" s="86" t="s">
        <v>1058</v>
      </c>
      <c r="BA169" s="83" t="s">
        <v>1077</v>
      </c>
      <c r="BC169" s="35">
        <f>AW169+AX169</f>
        <v>1203</v>
      </c>
      <c r="BD169" s="35">
        <f>I169/(100-BE169)*100</f>
        <v>401</v>
      </c>
      <c r="BE169" s="35">
        <v>0</v>
      </c>
      <c r="BF169" s="35">
        <f>169</f>
        <v>169</v>
      </c>
      <c r="BH169" s="65">
        <f>H169*AO169</f>
        <v>1203</v>
      </c>
      <c r="BI169" s="65">
        <f>H169*AP169</f>
        <v>0</v>
      </c>
      <c r="BJ169" s="65">
        <f>H169*I169</f>
        <v>1203</v>
      </c>
      <c r="BK169" s="65" t="s">
        <v>1001</v>
      </c>
      <c r="BL169" s="35">
        <v>751</v>
      </c>
    </row>
    <row r="170" spans="1:64" x14ac:dyDescent="0.2">
      <c r="A170" s="19"/>
      <c r="C170" s="59" t="s">
        <v>521</v>
      </c>
      <c r="D170" s="180" t="s">
        <v>932</v>
      </c>
      <c r="E170" s="181"/>
      <c r="F170" s="181"/>
      <c r="G170" s="181"/>
      <c r="H170" s="181"/>
      <c r="I170" s="182"/>
      <c r="J170" s="181"/>
      <c r="K170" s="181"/>
      <c r="L170" s="181"/>
      <c r="M170" s="183"/>
      <c r="N170" s="19"/>
    </row>
    <row r="171" spans="1:64" x14ac:dyDescent="0.2">
      <c r="A171" s="49" t="s">
        <v>211</v>
      </c>
      <c r="B171" s="57" t="s">
        <v>63</v>
      </c>
      <c r="C171" s="57" t="s">
        <v>599</v>
      </c>
      <c r="D171" s="186" t="s">
        <v>933</v>
      </c>
      <c r="E171" s="187"/>
      <c r="F171" s="187"/>
      <c r="G171" s="57" t="s">
        <v>1001</v>
      </c>
      <c r="H171" s="65">
        <v>3</v>
      </c>
      <c r="I171" s="73">
        <v>401</v>
      </c>
      <c r="J171" s="65">
        <f>H171*AO171</f>
        <v>1203</v>
      </c>
      <c r="K171" s="65">
        <f>H171*AP171</f>
        <v>0</v>
      </c>
      <c r="L171" s="65">
        <f>H171*I171</f>
        <v>1203</v>
      </c>
      <c r="M171" s="81"/>
      <c r="N171" s="19"/>
      <c r="Z171" s="35">
        <f>IF(AQ171="5",BJ171,0)</f>
        <v>0</v>
      </c>
      <c r="AB171" s="35">
        <f>IF(AQ171="1",BH171,0)</f>
        <v>0</v>
      </c>
      <c r="AC171" s="35">
        <f>IF(AQ171="1",BI171,0)</f>
        <v>0</v>
      </c>
      <c r="AD171" s="35">
        <f>IF(AQ171="7",BH171,0)</f>
        <v>1203</v>
      </c>
      <c r="AE171" s="35">
        <f>IF(AQ171="7",BI171,0)</f>
        <v>0</v>
      </c>
      <c r="AF171" s="35">
        <f>IF(AQ171="2",BH171,0)</f>
        <v>0</v>
      </c>
      <c r="AG171" s="35">
        <f>IF(AQ171="2",BI171,0)</f>
        <v>0</v>
      </c>
      <c r="AH171" s="35">
        <f>IF(AQ171="0",BJ171,0)</f>
        <v>0</v>
      </c>
      <c r="AI171" s="83" t="s">
        <v>63</v>
      </c>
      <c r="AJ171" s="65">
        <f>IF(AN171=0,L171,0)</f>
        <v>0</v>
      </c>
      <c r="AK171" s="65">
        <f>IF(AN171=15,L171,0)</f>
        <v>0</v>
      </c>
      <c r="AL171" s="65">
        <f>IF(AN171=21,L171,0)</f>
        <v>1203</v>
      </c>
      <c r="AN171" s="35">
        <v>21</v>
      </c>
      <c r="AO171" s="35">
        <f>I171*1</f>
        <v>401</v>
      </c>
      <c r="AP171" s="35">
        <f>I171*(1-1)</f>
        <v>0</v>
      </c>
      <c r="AQ171" s="85" t="s">
        <v>144</v>
      </c>
      <c r="AV171" s="35">
        <f>AW171+AX171</f>
        <v>1203</v>
      </c>
      <c r="AW171" s="35">
        <f>H171*AO171</f>
        <v>1203</v>
      </c>
      <c r="AX171" s="35">
        <f>H171*AP171</f>
        <v>0</v>
      </c>
      <c r="AY171" s="86" t="s">
        <v>1046</v>
      </c>
      <c r="AZ171" s="86" t="s">
        <v>1058</v>
      </c>
      <c r="BA171" s="83" t="s">
        <v>1077</v>
      </c>
      <c r="BC171" s="35">
        <f>AW171+AX171</f>
        <v>1203</v>
      </c>
      <c r="BD171" s="35">
        <f>I171/(100-BE171)*100</f>
        <v>401</v>
      </c>
      <c r="BE171" s="35">
        <v>0</v>
      </c>
      <c r="BF171" s="35">
        <f>171</f>
        <v>171</v>
      </c>
      <c r="BH171" s="65">
        <f>H171*AO171</f>
        <v>1203</v>
      </c>
      <c r="BI171" s="65">
        <f>H171*AP171</f>
        <v>0</v>
      </c>
      <c r="BJ171" s="65">
        <f>H171*I171</f>
        <v>1203</v>
      </c>
      <c r="BK171" s="65" t="s">
        <v>1001</v>
      </c>
      <c r="BL171" s="35">
        <v>751</v>
      </c>
    </row>
    <row r="172" spans="1:64" x14ac:dyDescent="0.2">
      <c r="A172" s="19"/>
      <c r="C172" s="59" t="s">
        <v>521</v>
      </c>
      <c r="D172" s="180" t="s">
        <v>933</v>
      </c>
      <c r="E172" s="181"/>
      <c r="F172" s="181"/>
      <c r="G172" s="181"/>
      <c r="H172" s="181"/>
      <c r="I172" s="182"/>
      <c r="J172" s="181"/>
      <c r="K172" s="181"/>
      <c r="L172" s="181"/>
      <c r="M172" s="183"/>
      <c r="N172" s="19"/>
    </row>
    <row r="173" spans="1:64" x14ac:dyDescent="0.2">
      <c r="A173" s="49" t="s">
        <v>212</v>
      </c>
      <c r="B173" s="57" t="s">
        <v>63</v>
      </c>
      <c r="C173" s="57" t="s">
        <v>600</v>
      </c>
      <c r="D173" s="186" t="s">
        <v>934</v>
      </c>
      <c r="E173" s="187"/>
      <c r="F173" s="187"/>
      <c r="G173" s="57" t="s">
        <v>1001</v>
      </c>
      <c r="H173" s="65">
        <v>7</v>
      </c>
      <c r="I173" s="73">
        <v>349</v>
      </c>
      <c r="J173" s="65">
        <f>H173*AO173</f>
        <v>2443</v>
      </c>
      <c r="K173" s="65">
        <f>H173*AP173</f>
        <v>0</v>
      </c>
      <c r="L173" s="65">
        <f>H173*I173</f>
        <v>2443</v>
      </c>
      <c r="M173" s="81"/>
      <c r="N173" s="19"/>
      <c r="Z173" s="35">
        <f>IF(AQ173="5",BJ173,0)</f>
        <v>0</v>
      </c>
      <c r="AB173" s="35">
        <f>IF(AQ173="1",BH173,0)</f>
        <v>0</v>
      </c>
      <c r="AC173" s="35">
        <f>IF(AQ173="1",BI173,0)</f>
        <v>0</v>
      </c>
      <c r="AD173" s="35">
        <f>IF(AQ173="7",BH173,0)</f>
        <v>2443</v>
      </c>
      <c r="AE173" s="35">
        <f>IF(AQ173="7",BI173,0)</f>
        <v>0</v>
      </c>
      <c r="AF173" s="35">
        <f>IF(AQ173="2",BH173,0)</f>
        <v>0</v>
      </c>
      <c r="AG173" s="35">
        <f>IF(AQ173="2",BI173,0)</f>
        <v>0</v>
      </c>
      <c r="AH173" s="35">
        <f>IF(AQ173="0",BJ173,0)</f>
        <v>0</v>
      </c>
      <c r="AI173" s="83" t="s">
        <v>63</v>
      </c>
      <c r="AJ173" s="65">
        <f>IF(AN173=0,L173,0)</f>
        <v>0</v>
      </c>
      <c r="AK173" s="65">
        <f>IF(AN173=15,L173,0)</f>
        <v>0</v>
      </c>
      <c r="AL173" s="65">
        <f>IF(AN173=21,L173,0)</f>
        <v>2443</v>
      </c>
      <c r="AN173" s="35">
        <v>21</v>
      </c>
      <c r="AO173" s="35">
        <f>I173*1</f>
        <v>349</v>
      </c>
      <c r="AP173" s="35">
        <f>I173*(1-1)</f>
        <v>0</v>
      </c>
      <c r="AQ173" s="85" t="s">
        <v>144</v>
      </c>
      <c r="AV173" s="35">
        <f>AW173+AX173</f>
        <v>2443</v>
      </c>
      <c r="AW173" s="35">
        <f>H173*AO173</f>
        <v>2443</v>
      </c>
      <c r="AX173" s="35">
        <f>H173*AP173</f>
        <v>0</v>
      </c>
      <c r="AY173" s="86" t="s">
        <v>1046</v>
      </c>
      <c r="AZ173" s="86" t="s">
        <v>1058</v>
      </c>
      <c r="BA173" s="83" t="s">
        <v>1077</v>
      </c>
      <c r="BC173" s="35">
        <f>AW173+AX173</f>
        <v>2443</v>
      </c>
      <c r="BD173" s="35">
        <f>I173/(100-BE173)*100</f>
        <v>349</v>
      </c>
      <c r="BE173" s="35">
        <v>0</v>
      </c>
      <c r="BF173" s="35">
        <f>173</f>
        <v>173</v>
      </c>
      <c r="BH173" s="65">
        <f>H173*AO173</f>
        <v>2443</v>
      </c>
      <c r="BI173" s="65">
        <f>H173*AP173</f>
        <v>0</v>
      </c>
      <c r="BJ173" s="65">
        <f>H173*I173</f>
        <v>2443</v>
      </c>
      <c r="BK173" s="65" t="s">
        <v>1001</v>
      </c>
      <c r="BL173" s="35">
        <v>751</v>
      </c>
    </row>
    <row r="174" spans="1:64" x14ac:dyDescent="0.2">
      <c r="A174" s="19"/>
      <c r="C174" s="59" t="s">
        <v>521</v>
      </c>
      <c r="D174" s="180" t="s">
        <v>934</v>
      </c>
      <c r="E174" s="181"/>
      <c r="F174" s="181"/>
      <c r="G174" s="181"/>
      <c r="H174" s="181"/>
      <c r="I174" s="182"/>
      <c r="J174" s="181"/>
      <c r="K174" s="181"/>
      <c r="L174" s="181"/>
      <c r="M174" s="183"/>
      <c r="N174" s="19"/>
    </row>
    <row r="175" spans="1:64" x14ac:dyDescent="0.2">
      <c r="A175" s="49" t="s">
        <v>213</v>
      </c>
      <c r="B175" s="57" t="s">
        <v>63</v>
      </c>
      <c r="C175" s="57" t="s">
        <v>601</v>
      </c>
      <c r="D175" s="186" t="s">
        <v>935</v>
      </c>
      <c r="E175" s="187"/>
      <c r="F175" s="187"/>
      <c r="G175" s="57" t="s">
        <v>1001</v>
      </c>
      <c r="H175" s="65">
        <v>3</v>
      </c>
      <c r="I175" s="73">
        <v>349</v>
      </c>
      <c r="J175" s="65">
        <f>H175*AO175</f>
        <v>1047</v>
      </c>
      <c r="K175" s="65">
        <f>H175*AP175</f>
        <v>0</v>
      </c>
      <c r="L175" s="65">
        <f>H175*I175</f>
        <v>1047</v>
      </c>
      <c r="M175" s="81"/>
      <c r="N175" s="19"/>
      <c r="Z175" s="35">
        <f>IF(AQ175="5",BJ175,0)</f>
        <v>0</v>
      </c>
      <c r="AB175" s="35">
        <f>IF(AQ175="1",BH175,0)</f>
        <v>0</v>
      </c>
      <c r="AC175" s="35">
        <f>IF(AQ175="1",BI175,0)</f>
        <v>0</v>
      </c>
      <c r="AD175" s="35">
        <f>IF(AQ175="7",BH175,0)</f>
        <v>1047</v>
      </c>
      <c r="AE175" s="35">
        <f>IF(AQ175="7",BI175,0)</f>
        <v>0</v>
      </c>
      <c r="AF175" s="35">
        <f>IF(AQ175="2",BH175,0)</f>
        <v>0</v>
      </c>
      <c r="AG175" s="35">
        <f>IF(AQ175="2",BI175,0)</f>
        <v>0</v>
      </c>
      <c r="AH175" s="35">
        <f>IF(AQ175="0",BJ175,0)</f>
        <v>0</v>
      </c>
      <c r="AI175" s="83" t="s">
        <v>63</v>
      </c>
      <c r="AJ175" s="65">
        <f>IF(AN175=0,L175,0)</f>
        <v>0</v>
      </c>
      <c r="AK175" s="65">
        <f>IF(AN175=15,L175,0)</f>
        <v>0</v>
      </c>
      <c r="AL175" s="65">
        <f>IF(AN175=21,L175,0)</f>
        <v>1047</v>
      </c>
      <c r="AN175" s="35">
        <v>21</v>
      </c>
      <c r="AO175" s="35">
        <f>I175*1</f>
        <v>349</v>
      </c>
      <c r="AP175" s="35">
        <f>I175*(1-1)</f>
        <v>0</v>
      </c>
      <c r="AQ175" s="85" t="s">
        <v>144</v>
      </c>
      <c r="AV175" s="35">
        <f>AW175+AX175</f>
        <v>1047</v>
      </c>
      <c r="AW175" s="35">
        <f>H175*AO175</f>
        <v>1047</v>
      </c>
      <c r="AX175" s="35">
        <f>H175*AP175</f>
        <v>0</v>
      </c>
      <c r="AY175" s="86" t="s">
        <v>1046</v>
      </c>
      <c r="AZ175" s="86" t="s">
        <v>1058</v>
      </c>
      <c r="BA175" s="83" t="s">
        <v>1077</v>
      </c>
      <c r="BC175" s="35">
        <f>AW175+AX175</f>
        <v>1047</v>
      </c>
      <c r="BD175" s="35">
        <f>I175/(100-BE175)*100</f>
        <v>349</v>
      </c>
      <c r="BE175" s="35">
        <v>0</v>
      </c>
      <c r="BF175" s="35">
        <f>175</f>
        <v>175</v>
      </c>
      <c r="BH175" s="65">
        <f>H175*AO175</f>
        <v>1047</v>
      </c>
      <c r="BI175" s="65">
        <f>H175*AP175</f>
        <v>0</v>
      </c>
      <c r="BJ175" s="65">
        <f>H175*I175</f>
        <v>1047</v>
      </c>
      <c r="BK175" s="65" t="s">
        <v>1001</v>
      </c>
      <c r="BL175" s="35">
        <v>751</v>
      </c>
    </row>
    <row r="176" spans="1:64" x14ac:dyDescent="0.2">
      <c r="A176" s="19"/>
      <c r="C176" s="59" t="s">
        <v>521</v>
      </c>
      <c r="D176" s="180" t="s">
        <v>935</v>
      </c>
      <c r="E176" s="181"/>
      <c r="F176" s="181"/>
      <c r="G176" s="181"/>
      <c r="H176" s="181"/>
      <c r="I176" s="182"/>
      <c r="J176" s="181"/>
      <c r="K176" s="181"/>
      <c r="L176" s="181"/>
      <c r="M176" s="183"/>
      <c r="N176" s="19"/>
    </row>
    <row r="177" spans="1:64" x14ac:dyDescent="0.2">
      <c r="A177" s="49" t="s">
        <v>214</v>
      </c>
      <c r="B177" s="57" t="s">
        <v>63</v>
      </c>
      <c r="C177" s="57" t="s">
        <v>602</v>
      </c>
      <c r="D177" s="186" t="s">
        <v>936</v>
      </c>
      <c r="E177" s="187"/>
      <c r="F177" s="187"/>
      <c r="G177" s="57" t="s">
        <v>1001</v>
      </c>
      <c r="H177" s="65">
        <v>2</v>
      </c>
      <c r="I177" s="73">
        <v>349</v>
      </c>
      <c r="J177" s="65">
        <f>H177*AO177</f>
        <v>698</v>
      </c>
      <c r="K177" s="65">
        <f>H177*AP177</f>
        <v>0</v>
      </c>
      <c r="L177" s="65">
        <f>H177*I177</f>
        <v>698</v>
      </c>
      <c r="M177" s="81"/>
      <c r="N177" s="19"/>
      <c r="Z177" s="35">
        <f>IF(AQ177="5",BJ177,0)</f>
        <v>0</v>
      </c>
      <c r="AB177" s="35">
        <f>IF(AQ177="1",BH177,0)</f>
        <v>0</v>
      </c>
      <c r="AC177" s="35">
        <f>IF(AQ177="1",BI177,0)</f>
        <v>0</v>
      </c>
      <c r="AD177" s="35">
        <f>IF(AQ177="7",BH177,0)</f>
        <v>698</v>
      </c>
      <c r="AE177" s="35">
        <f>IF(AQ177="7",BI177,0)</f>
        <v>0</v>
      </c>
      <c r="AF177" s="35">
        <f>IF(AQ177="2",BH177,0)</f>
        <v>0</v>
      </c>
      <c r="AG177" s="35">
        <f>IF(AQ177="2",BI177,0)</f>
        <v>0</v>
      </c>
      <c r="AH177" s="35">
        <f>IF(AQ177="0",BJ177,0)</f>
        <v>0</v>
      </c>
      <c r="AI177" s="83" t="s">
        <v>63</v>
      </c>
      <c r="AJ177" s="65">
        <f>IF(AN177=0,L177,0)</f>
        <v>0</v>
      </c>
      <c r="AK177" s="65">
        <f>IF(AN177=15,L177,0)</f>
        <v>0</v>
      </c>
      <c r="AL177" s="65">
        <f>IF(AN177=21,L177,0)</f>
        <v>698</v>
      </c>
      <c r="AN177" s="35">
        <v>21</v>
      </c>
      <c r="AO177" s="35">
        <f>I177*1</f>
        <v>349</v>
      </c>
      <c r="AP177" s="35">
        <f>I177*(1-1)</f>
        <v>0</v>
      </c>
      <c r="AQ177" s="85" t="s">
        <v>144</v>
      </c>
      <c r="AV177" s="35">
        <f>AW177+AX177</f>
        <v>698</v>
      </c>
      <c r="AW177" s="35">
        <f>H177*AO177</f>
        <v>698</v>
      </c>
      <c r="AX177" s="35">
        <f>H177*AP177</f>
        <v>0</v>
      </c>
      <c r="AY177" s="86" t="s">
        <v>1046</v>
      </c>
      <c r="AZ177" s="86" t="s">
        <v>1058</v>
      </c>
      <c r="BA177" s="83" t="s">
        <v>1077</v>
      </c>
      <c r="BC177" s="35">
        <f>AW177+AX177</f>
        <v>698</v>
      </c>
      <c r="BD177" s="35">
        <f>I177/(100-BE177)*100</f>
        <v>349</v>
      </c>
      <c r="BE177" s="35">
        <v>0</v>
      </c>
      <c r="BF177" s="35">
        <f>177</f>
        <v>177</v>
      </c>
      <c r="BH177" s="65">
        <f>H177*AO177</f>
        <v>698</v>
      </c>
      <c r="BI177" s="65">
        <f>H177*AP177</f>
        <v>0</v>
      </c>
      <c r="BJ177" s="65">
        <f>H177*I177</f>
        <v>698</v>
      </c>
      <c r="BK177" s="65" t="s">
        <v>1001</v>
      </c>
      <c r="BL177" s="35">
        <v>751</v>
      </c>
    </row>
    <row r="178" spans="1:64" x14ac:dyDescent="0.2">
      <c r="A178" s="19"/>
      <c r="C178" s="59" t="s">
        <v>521</v>
      </c>
      <c r="D178" s="180" t="s">
        <v>936</v>
      </c>
      <c r="E178" s="181"/>
      <c r="F178" s="181"/>
      <c r="G178" s="181"/>
      <c r="H178" s="181"/>
      <c r="I178" s="182"/>
      <c r="J178" s="181"/>
      <c r="K178" s="181"/>
      <c r="L178" s="181"/>
      <c r="M178" s="183"/>
      <c r="N178" s="19"/>
    </row>
    <row r="179" spans="1:64" x14ac:dyDescent="0.2">
      <c r="A179" s="49" t="s">
        <v>215</v>
      </c>
      <c r="B179" s="57" t="s">
        <v>63</v>
      </c>
      <c r="C179" s="57" t="s">
        <v>603</v>
      </c>
      <c r="D179" s="186" t="s">
        <v>937</v>
      </c>
      <c r="E179" s="187"/>
      <c r="F179" s="187"/>
      <c r="G179" s="57" t="s">
        <v>1001</v>
      </c>
      <c r="H179" s="65">
        <v>3</v>
      </c>
      <c r="I179" s="73">
        <v>349</v>
      </c>
      <c r="J179" s="65">
        <f>H179*AO179</f>
        <v>1047</v>
      </c>
      <c r="K179" s="65">
        <f>H179*AP179</f>
        <v>0</v>
      </c>
      <c r="L179" s="65">
        <f>H179*I179</f>
        <v>1047</v>
      </c>
      <c r="M179" s="81"/>
      <c r="N179" s="19"/>
      <c r="Z179" s="35">
        <f>IF(AQ179="5",BJ179,0)</f>
        <v>0</v>
      </c>
      <c r="AB179" s="35">
        <f>IF(AQ179="1",BH179,0)</f>
        <v>0</v>
      </c>
      <c r="AC179" s="35">
        <f>IF(AQ179="1",BI179,0)</f>
        <v>0</v>
      </c>
      <c r="AD179" s="35">
        <f>IF(AQ179="7",BH179,0)</f>
        <v>1047</v>
      </c>
      <c r="AE179" s="35">
        <f>IF(AQ179="7",BI179,0)</f>
        <v>0</v>
      </c>
      <c r="AF179" s="35">
        <f>IF(AQ179="2",BH179,0)</f>
        <v>0</v>
      </c>
      <c r="AG179" s="35">
        <f>IF(AQ179="2",BI179,0)</f>
        <v>0</v>
      </c>
      <c r="AH179" s="35">
        <f>IF(AQ179="0",BJ179,0)</f>
        <v>0</v>
      </c>
      <c r="AI179" s="83" t="s">
        <v>63</v>
      </c>
      <c r="AJ179" s="65">
        <f>IF(AN179=0,L179,0)</f>
        <v>0</v>
      </c>
      <c r="AK179" s="65">
        <f>IF(AN179=15,L179,0)</f>
        <v>0</v>
      </c>
      <c r="AL179" s="65">
        <f>IF(AN179=21,L179,0)</f>
        <v>1047</v>
      </c>
      <c r="AN179" s="35">
        <v>21</v>
      </c>
      <c r="AO179" s="35">
        <f>I179*1</f>
        <v>349</v>
      </c>
      <c r="AP179" s="35">
        <f>I179*(1-1)</f>
        <v>0</v>
      </c>
      <c r="AQ179" s="85" t="s">
        <v>144</v>
      </c>
      <c r="AV179" s="35">
        <f>AW179+AX179</f>
        <v>1047</v>
      </c>
      <c r="AW179" s="35">
        <f>H179*AO179</f>
        <v>1047</v>
      </c>
      <c r="AX179" s="35">
        <f>H179*AP179</f>
        <v>0</v>
      </c>
      <c r="AY179" s="86" t="s">
        <v>1046</v>
      </c>
      <c r="AZ179" s="86" t="s">
        <v>1058</v>
      </c>
      <c r="BA179" s="83" t="s">
        <v>1077</v>
      </c>
      <c r="BC179" s="35">
        <f>AW179+AX179</f>
        <v>1047</v>
      </c>
      <c r="BD179" s="35">
        <f>I179/(100-BE179)*100</f>
        <v>349</v>
      </c>
      <c r="BE179" s="35">
        <v>0</v>
      </c>
      <c r="BF179" s="35">
        <f>179</f>
        <v>179</v>
      </c>
      <c r="BH179" s="65">
        <f>H179*AO179</f>
        <v>1047</v>
      </c>
      <c r="BI179" s="65">
        <f>H179*AP179</f>
        <v>0</v>
      </c>
      <c r="BJ179" s="65">
        <f>H179*I179</f>
        <v>1047</v>
      </c>
      <c r="BK179" s="65" t="s">
        <v>1001</v>
      </c>
      <c r="BL179" s="35">
        <v>751</v>
      </c>
    </row>
    <row r="180" spans="1:64" x14ac:dyDescent="0.2">
      <c r="A180" s="19"/>
      <c r="C180" s="59" t="s">
        <v>521</v>
      </c>
      <c r="D180" s="180" t="s">
        <v>937</v>
      </c>
      <c r="E180" s="181"/>
      <c r="F180" s="181"/>
      <c r="G180" s="181"/>
      <c r="H180" s="181"/>
      <c r="I180" s="182"/>
      <c r="J180" s="181"/>
      <c r="K180" s="181"/>
      <c r="L180" s="181"/>
      <c r="M180" s="183"/>
      <c r="N180" s="19"/>
    </row>
    <row r="181" spans="1:64" x14ac:dyDescent="0.2">
      <c r="A181" s="47" t="s">
        <v>216</v>
      </c>
      <c r="B181" s="55" t="s">
        <v>63</v>
      </c>
      <c r="C181" s="55" t="s">
        <v>604</v>
      </c>
      <c r="D181" s="178" t="s">
        <v>938</v>
      </c>
      <c r="E181" s="179"/>
      <c r="F181" s="179"/>
      <c r="G181" s="55" t="s">
        <v>1003</v>
      </c>
      <c r="H181" s="64">
        <v>4</v>
      </c>
      <c r="I181" s="71">
        <v>178</v>
      </c>
      <c r="J181" s="64">
        <f>H181*AO181</f>
        <v>0</v>
      </c>
      <c r="K181" s="64">
        <f>H181*AP181</f>
        <v>712</v>
      </c>
      <c r="L181" s="64">
        <f>H181*I181</f>
        <v>712</v>
      </c>
      <c r="M181" s="79"/>
      <c r="N181" s="19"/>
      <c r="Z181" s="35">
        <f>IF(AQ181="5",BJ181,0)</f>
        <v>0</v>
      </c>
      <c r="AB181" s="35">
        <f>IF(AQ181="1",BH181,0)</f>
        <v>0</v>
      </c>
      <c r="AC181" s="35">
        <f>IF(AQ181="1",BI181,0)</f>
        <v>0</v>
      </c>
      <c r="AD181" s="35">
        <f>IF(AQ181="7",BH181,0)</f>
        <v>0</v>
      </c>
      <c r="AE181" s="35">
        <f>IF(AQ181="7",BI181,0)</f>
        <v>712</v>
      </c>
      <c r="AF181" s="35">
        <f>IF(AQ181="2",BH181,0)</f>
        <v>0</v>
      </c>
      <c r="AG181" s="35">
        <f>IF(AQ181="2",BI181,0)</f>
        <v>0</v>
      </c>
      <c r="AH181" s="35">
        <f>IF(AQ181="0",BJ181,0)</f>
        <v>0</v>
      </c>
      <c r="AI181" s="83" t="s">
        <v>63</v>
      </c>
      <c r="AJ181" s="64">
        <f>IF(AN181=0,L181,0)</f>
        <v>0</v>
      </c>
      <c r="AK181" s="64">
        <f>IF(AN181=15,L181,0)</f>
        <v>0</v>
      </c>
      <c r="AL181" s="64">
        <f>IF(AN181=21,L181,0)</f>
        <v>712</v>
      </c>
      <c r="AN181" s="35">
        <v>21</v>
      </c>
      <c r="AO181" s="35">
        <f>I181*0</f>
        <v>0</v>
      </c>
      <c r="AP181" s="35">
        <f>I181*(1-0)</f>
        <v>178</v>
      </c>
      <c r="AQ181" s="84" t="s">
        <v>144</v>
      </c>
      <c r="AV181" s="35">
        <f>AW181+AX181</f>
        <v>712</v>
      </c>
      <c r="AW181" s="35">
        <f>H181*AO181</f>
        <v>0</v>
      </c>
      <c r="AX181" s="35">
        <f>H181*AP181</f>
        <v>712</v>
      </c>
      <c r="AY181" s="86" t="s">
        <v>1046</v>
      </c>
      <c r="AZ181" s="86" t="s">
        <v>1058</v>
      </c>
      <c r="BA181" s="83" t="s">
        <v>1077</v>
      </c>
      <c r="BC181" s="35">
        <f>AW181+AX181</f>
        <v>712</v>
      </c>
      <c r="BD181" s="35">
        <f>I181/(100-BE181)*100</f>
        <v>178</v>
      </c>
      <c r="BE181" s="35">
        <v>0</v>
      </c>
      <c r="BF181" s="35">
        <f>181</f>
        <v>181</v>
      </c>
      <c r="BH181" s="64">
        <f>H181*AO181</f>
        <v>0</v>
      </c>
      <c r="BI181" s="64">
        <f>H181*AP181</f>
        <v>712</v>
      </c>
      <c r="BJ181" s="64">
        <f>H181*I181</f>
        <v>712</v>
      </c>
      <c r="BK181" s="64" t="s">
        <v>1086</v>
      </c>
      <c r="BL181" s="35">
        <v>751</v>
      </c>
    </row>
    <row r="182" spans="1:64" x14ac:dyDescent="0.2">
      <c r="A182" s="19"/>
      <c r="C182" s="59" t="s">
        <v>521</v>
      </c>
      <c r="D182" s="180" t="s">
        <v>938</v>
      </c>
      <c r="E182" s="181"/>
      <c r="F182" s="181"/>
      <c r="G182" s="181"/>
      <c r="H182" s="181"/>
      <c r="I182" s="182"/>
      <c r="J182" s="181"/>
      <c r="K182" s="181"/>
      <c r="L182" s="181"/>
      <c r="M182" s="183"/>
      <c r="N182" s="19"/>
    </row>
    <row r="183" spans="1:64" x14ac:dyDescent="0.2">
      <c r="A183" s="49" t="s">
        <v>217</v>
      </c>
      <c r="B183" s="57" t="s">
        <v>63</v>
      </c>
      <c r="C183" s="57" t="s">
        <v>605</v>
      </c>
      <c r="D183" s="186" t="s">
        <v>939</v>
      </c>
      <c r="E183" s="187"/>
      <c r="F183" s="187"/>
      <c r="G183" s="57" t="s">
        <v>1004</v>
      </c>
      <c r="H183" s="65">
        <v>4</v>
      </c>
      <c r="I183" s="73">
        <v>735</v>
      </c>
      <c r="J183" s="65">
        <f>H183*AO183</f>
        <v>2940</v>
      </c>
      <c r="K183" s="65">
        <f>H183*AP183</f>
        <v>0</v>
      </c>
      <c r="L183" s="65">
        <f>H183*I183</f>
        <v>2940</v>
      </c>
      <c r="M183" s="81"/>
      <c r="N183" s="19"/>
      <c r="Z183" s="35">
        <f>IF(AQ183="5",BJ183,0)</f>
        <v>0</v>
      </c>
      <c r="AB183" s="35">
        <f>IF(AQ183="1",BH183,0)</f>
        <v>0</v>
      </c>
      <c r="AC183" s="35">
        <f>IF(AQ183="1",BI183,0)</f>
        <v>0</v>
      </c>
      <c r="AD183" s="35">
        <f>IF(AQ183="7",BH183,0)</f>
        <v>2940</v>
      </c>
      <c r="AE183" s="35">
        <f>IF(AQ183="7",BI183,0)</f>
        <v>0</v>
      </c>
      <c r="AF183" s="35">
        <f>IF(AQ183="2",BH183,0)</f>
        <v>0</v>
      </c>
      <c r="AG183" s="35">
        <f>IF(AQ183="2",BI183,0)</f>
        <v>0</v>
      </c>
      <c r="AH183" s="35">
        <f>IF(AQ183="0",BJ183,0)</f>
        <v>0</v>
      </c>
      <c r="AI183" s="83" t="s">
        <v>63</v>
      </c>
      <c r="AJ183" s="65">
        <f>IF(AN183=0,L183,0)</f>
        <v>0</v>
      </c>
      <c r="AK183" s="65">
        <f>IF(AN183=15,L183,0)</f>
        <v>0</v>
      </c>
      <c r="AL183" s="65">
        <f>IF(AN183=21,L183,0)</f>
        <v>2940</v>
      </c>
      <c r="AN183" s="35">
        <v>21</v>
      </c>
      <c r="AO183" s="35">
        <f>I183*1</f>
        <v>735</v>
      </c>
      <c r="AP183" s="35">
        <f>I183*(1-1)</f>
        <v>0</v>
      </c>
      <c r="AQ183" s="85" t="s">
        <v>144</v>
      </c>
      <c r="AV183" s="35">
        <f>AW183+AX183</f>
        <v>2940</v>
      </c>
      <c r="AW183" s="35">
        <f>H183*AO183</f>
        <v>2940</v>
      </c>
      <c r="AX183" s="35">
        <f>H183*AP183</f>
        <v>0</v>
      </c>
      <c r="AY183" s="86" t="s">
        <v>1046</v>
      </c>
      <c r="AZ183" s="86" t="s">
        <v>1058</v>
      </c>
      <c r="BA183" s="83" t="s">
        <v>1077</v>
      </c>
      <c r="BC183" s="35">
        <f>AW183+AX183</f>
        <v>2940</v>
      </c>
      <c r="BD183" s="35">
        <f>I183/(100-BE183)*100</f>
        <v>735</v>
      </c>
      <c r="BE183" s="35">
        <v>0</v>
      </c>
      <c r="BF183" s="35">
        <f>183</f>
        <v>183</v>
      </c>
      <c r="BH183" s="65">
        <f>H183*AO183</f>
        <v>2940</v>
      </c>
      <c r="BI183" s="65">
        <f>H183*AP183</f>
        <v>0</v>
      </c>
      <c r="BJ183" s="65">
        <f>H183*I183</f>
        <v>2940</v>
      </c>
      <c r="BK183" s="65" t="s">
        <v>1001</v>
      </c>
      <c r="BL183" s="35">
        <v>751</v>
      </c>
    </row>
    <row r="184" spans="1:64" x14ac:dyDescent="0.2">
      <c r="A184" s="19"/>
      <c r="C184" s="59" t="s">
        <v>521</v>
      </c>
      <c r="D184" s="180" t="s">
        <v>939</v>
      </c>
      <c r="E184" s="181"/>
      <c r="F184" s="181"/>
      <c r="G184" s="181"/>
      <c r="H184" s="181"/>
      <c r="I184" s="182"/>
      <c r="J184" s="181"/>
      <c r="K184" s="181"/>
      <c r="L184" s="181"/>
      <c r="M184" s="183"/>
      <c r="N184" s="19"/>
    </row>
    <row r="185" spans="1:64" x14ac:dyDescent="0.2">
      <c r="A185" s="47" t="s">
        <v>218</v>
      </c>
      <c r="B185" s="55" t="s">
        <v>63</v>
      </c>
      <c r="C185" s="55" t="s">
        <v>606</v>
      </c>
      <c r="D185" s="178" t="s">
        <v>940</v>
      </c>
      <c r="E185" s="179"/>
      <c r="F185" s="179"/>
      <c r="G185" s="55" t="s">
        <v>1003</v>
      </c>
      <c r="H185" s="64">
        <v>12</v>
      </c>
      <c r="I185" s="71">
        <v>178</v>
      </c>
      <c r="J185" s="64">
        <f>H185*AO185</f>
        <v>0</v>
      </c>
      <c r="K185" s="64">
        <f>H185*AP185</f>
        <v>2136</v>
      </c>
      <c r="L185" s="64">
        <f>H185*I185</f>
        <v>2136</v>
      </c>
      <c r="M185" s="79"/>
      <c r="N185" s="19"/>
      <c r="Z185" s="35">
        <f>IF(AQ185="5",BJ185,0)</f>
        <v>0</v>
      </c>
      <c r="AB185" s="35">
        <f>IF(AQ185="1",BH185,0)</f>
        <v>0</v>
      </c>
      <c r="AC185" s="35">
        <f>IF(AQ185="1",BI185,0)</f>
        <v>0</v>
      </c>
      <c r="AD185" s="35">
        <f>IF(AQ185="7",BH185,0)</f>
        <v>0</v>
      </c>
      <c r="AE185" s="35">
        <f>IF(AQ185="7",BI185,0)</f>
        <v>2136</v>
      </c>
      <c r="AF185" s="35">
        <f>IF(AQ185="2",BH185,0)</f>
        <v>0</v>
      </c>
      <c r="AG185" s="35">
        <f>IF(AQ185="2",BI185,0)</f>
        <v>0</v>
      </c>
      <c r="AH185" s="35">
        <f>IF(AQ185="0",BJ185,0)</f>
        <v>0</v>
      </c>
      <c r="AI185" s="83" t="s">
        <v>63</v>
      </c>
      <c r="AJ185" s="64">
        <f>IF(AN185=0,L185,0)</f>
        <v>0</v>
      </c>
      <c r="AK185" s="64">
        <f>IF(AN185=15,L185,0)</f>
        <v>0</v>
      </c>
      <c r="AL185" s="64">
        <f>IF(AN185=21,L185,0)</f>
        <v>2136</v>
      </c>
      <c r="AN185" s="35">
        <v>21</v>
      </c>
      <c r="AO185" s="35">
        <f>I185*0</f>
        <v>0</v>
      </c>
      <c r="AP185" s="35">
        <f>I185*(1-0)</f>
        <v>178</v>
      </c>
      <c r="AQ185" s="84" t="s">
        <v>144</v>
      </c>
      <c r="AV185" s="35">
        <f>AW185+AX185</f>
        <v>2136</v>
      </c>
      <c r="AW185" s="35">
        <f>H185*AO185</f>
        <v>0</v>
      </c>
      <c r="AX185" s="35">
        <f>H185*AP185</f>
        <v>2136</v>
      </c>
      <c r="AY185" s="86" t="s">
        <v>1046</v>
      </c>
      <c r="AZ185" s="86" t="s">
        <v>1058</v>
      </c>
      <c r="BA185" s="83" t="s">
        <v>1077</v>
      </c>
      <c r="BC185" s="35">
        <f>AW185+AX185</f>
        <v>2136</v>
      </c>
      <c r="BD185" s="35">
        <f>I185/(100-BE185)*100</f>
        <v>178</v>
      </c>
      <c r="BE185" s="35">
        <v>0</v>
      </c>
      <c r="BF185" s="35">
        <f>185</f>
        <v>185</v>
      </c>
      <c r="BH185" s="64">
        <f>H185*AO185</f>
        <v>0</v>
      </c>
      <c r="BI185" s="64">
        <f>H185*AP185</f>
        <v>2136</v>
      </c>
      <c r="BJ185" s="64">
        <f>H185*I185</f>
        <v>2136</v>
      </c>
      <c r="BK185" s="64" t="s">
        <v>1086</v>
      </c>
      <c r="BL185" s="35">
        <v>751</v>
      </c>
    </row>
    <row r="186" spans="1:64" x14ac:dyDescent="0.2">
      <c r="A186" s="19"/>
      <c r="C186" s="59" t="s">
        <v>521</v>
      </c>
      <c r="D186" s="180" t="s">
        <v>940</v>
      </c>
      <c r="E186" s="181"/>
      <c r="F186" s="181"/>
      <c r="G186" s="181"/>
      <c r="H186" s="181"/>
      <c r="I186" s="182"/>
      <c r="J186" s="181"/>
      <c r="K186" s="181"/>
      <c r="L186" s="181"/>
      <c r="M186" s="183"/>
      <c r="N186" s="19"/>
    </row>
    <row r="187" spans="1:64" x14ac:dyDescent="0.2">
      <c r="A187" s="49" t="s">
        <v>219</v>
      </c>
      <c r="B187" s="57" t="s">
        <v>63</v>
      </c>
      <c r="C187" s="57" t="s">
        <v>607</v>
      </c>
      <c r="D187" s="186" t="s">
        <v>941</v>
      </c>
      <c r="E187" s="187"/>
      <c r="F187" s="187"/>
      <c r="G187" s="57" t="s">
        <v>1004</v>
      </c>
      <c r="H187" s="65">
        <v>2</v>
      </c>
      <c r="I187" s="73">
        <v>751</v>
      </c>
      <c r="J187" s="65">
        <f>H187*AO187</f>
        <v>1502</v>
      </c>
      <c r="K187" s="65">
        <f>H187*AP187</f>
        <v>0</v>
      </c>
      <c r="L187" s="65">
        <f>H187*I187</f>
        <v>1502</v>
      </c>
      <c r="M187" s="81"/>
      <c r="N187" s="19"/>
      <c r="Z187" s="35">
        <f>IF(AQ187="5",BJ187,0)</f>
        <v>0</v>
      </c>
      <c r="AB187" s="35">
        <f>IF(AQ187="1",BH187,0)</f>
        <v>0</v>
      </c>
      <c r="AC187" s="35">
        <f>IF(AQ187="1",BI187,0)</f>
        <v>0</v>
      </c>
      <c r="AD187" s="35">
        <f>IF(AQ187="7",BH187,0)</f>
        <v>1502</v>
      </c>
      <c r="AE187" s="35">
        <f>IF(AQ187="7",BI187,0)</f>
        <v>0</v>
      </c>
      <c r="AF187" s="35">
        <f>IF(AQ187="2",BH187,0)</f>
        <v>0</v>
      </c>
      <c r="AG187" s="35">
        <f>IF(AQ187="2",BI187,0)</f>
        <v>0</v>
      </c>
      <c r="AH187" s="35">
        <f>IF(AQ187="0",BJ187,0)</f>
        <v>0</v>
      </c>
      <c r="AI187" s="83" t="s">
        <v>63</v>
      </c>
      <c r="AJ187" s="65">
        <f>IF(AN187=0,L187,0)</f>
        <v>0</v>
      </c>
      <c r="AK187" s="65">
        <f>IF(AN187=15,L187,0)</f>
        <v>0</v>
      </c>
      <c r="AL187" s="65">
        <f>IF(AN187=21,L187,0)</f>
        <v>1502</v>
      </c>
      <c r="AN187" s="35">
        <v>21</v>
      </c>
      <c r="AO187" s="35">
        <f>I187*1</f>
        <v>751</v>
      </c>
      <c r="AP187" s="35">
        <f>I187*(1-1)</f>
        <v>0</v>
      </c>
      <c r="AQ187" s="85" t="s">
        <v>144</v>
      </c>
      <c r="AV187" s="35">
        <f>AW187+AX187</f>
        <v>1502</v>
      </c>
      <c r="AW187" s="35">
        <f>H187*AO187</f>
        <v>1502</v>
      </c>
      <c r="AX187" s="35">
        <f>H187*AP187</f>
        <v>0</v>
      </c>
      <c r="AY187" s="86" t="s">
        <v>1046</v>
      </c>
      <c r="AZ187" s="86" t="s">
        <v>1058</v>
      </c>
      <c r="BA187" s="83" t="s">
        <v>1077</v>
      </c>
      <c r="BC187" s="35">
        <f>AW187+AX187</f>
        <v>1502</v>
      </c>
      <c r="BD187" s="35">
        <f>I187/(100-BE187)*100</f>
        <v>751</v>
      </c>
      <c r="BE187" s="35">
        <v>0</v>
      </c>
      <c r="BF187" s="35">
        <f>187</f>
        <v>187</v>
      </c>
      <c r="BH187" s="65">
        <f>H187*AO187</f>
        <v>1502</v>
      </c>
      <c r="BI187" s="65">
        <f>H187*AP187</f>
        <v>0</v>
      </c>
      <c r="BJ187" s="65">
        <f>H187*I187</f>
        <v>1502</v>
      </c>
      <c r="BK187" s="65" t="s">
        <v>1001</v>
      </c>
      <c r="BL187" s="35">
        <v>751</v>
      </c>
    </row>
    <row r="188" spans="1:64" x14ac:dyDescent="0.2">
      <c r="A188" s="19"/>
      <c r="C188" s="59" t="s">
        <v>521</v>
      </c>
      <c r="D188" s="180" t="s">
        <v>941</v>
      </c>
      <c r="E188" s="181"/>
      <c r="F188" s="181"/>
      <c r="G188" s="181"/>
      <c r="H188" s="181"/>
      <c r="I188" s="182"/>
      <c r="J188" s="181"/>
      <c r="K188" s="181"/>
      <c r="L188" s="181"/>
      <c r="M188" s="183"/>
      <c r="N188" s="19"/>
    </row>
    <row r="189" spans="1:64" x14ac:dyDescent="0.2">
      <c r="A189" s="49" t="s">
        <v>220</v>
      </c>
      <c r="B189" s="57" t="s">
        <v>63</v>
      </c>
      <c r="C189" s="57" t="s">
        <v>608</v>
      </c>
      <c r="D189" s="186" t="s">
        <v>942</v>
      </c>
      <c r="E189" s="187"/>
      <c r="F189" s="187"/>
      <c r="G189" s="57" t="s">
        <v>1004</v>
      </c>
      <c r="H189" s="65">
        <v>1</v>
      </c>
      <c r="I189" s="73">
        <v>642</v>
      </c>
      <c r="J189" s="65">
        <f>H189*AO189</f>
        <v>642</v>
      </c>
      <c r="K189" s="65">
        <f>H189*AP189</f>
        <v>0</v>
      </c>
      <c r="L189" s="65">
        <f>H189*I189</f>
        <v>642</v>
      </c>
      <c r="M189" s="81"/>
      <c r="N189" s="19"/>
      <c r="Z189" s="35">
        <f>IF(AQ189="5",BJ189,0)</f>
        <v>0</v>
      </c>
      <c r="AB189" s="35">
        <f>IF(AQ189="1",BH189,0)</f>
        <v>0</v>
      </c>
      <c r="AC189" s="35">
        <f>IF(AQ189="1",BI189,0)</f>
        <v>0</v>
      </c>
      <c r="AD189" s="35">
        <f>IF(AQ189="7",BH189,0)</f>
        <v>642</v>
      </c>
      <c r="AE189" s="35">
        <f>IF(AQ189="7",BI189,0)</f>
        <v>0</v>
      </c>
      <c r="AF189" s="35">
        <f>IF(AQ189="2",BH189,0)</f>
        <v>0</v>
      </c>
      <c r="AG189" s="35">
        <f>IF(AQ189="2",BI189,0)</f>
        <v>0</v>
      </c>
      <c r="AH189" s="35">
        <f>IF(AQ189="0",BJ189,0)</f>
        <v>0</v>
      </c>
      <c r="AI189" s="83" t="s">
        <v>63</v>
      </c>
      <c r="AJ189" s="65">
        <f>IF(AN189=0,L189,0)</f>
        <v>0</v>
      </c>
      <c r="AK189" s="65">
        <f>IF(AN189=15,L189,0)</f>
        <v>0</v>
      </c>
      <c r="AL189" s="65">
        <f>IF(AN189=21,L189,0)</f>
        <v>642</v>
      </c>
      <c r="AN189" s="35">
        <v>21</v>
      </c>
      <c r="AO189" s="35">
        <f>I189*1</f>
        <v>642</v>
      </c>
      <c r="AP189" s="35">
        <f>I189*(1-1)</f>
        <v>0</v>
      </c>
      <c r="AQ189" s="85" t="s">
        <v>144</v>
      </c>
      <c r="AV189" s="35">
        <f>AW189+AX189</f>
        <v>642</v>
      </c>
      <c r="AW189" s="35">
        <f>H189*AO189</f>
        <v>642</v>
      </c>
      <c r="AX189" s="35">
        <f>H189*AP189</f>
        <v>0</v>
      </c>
      <c r="AY189" s="86" t="s">
        <v>1046</v>
      </c>
      <c r="AZ189" s="86" t="s">
        <v>1058</v>
      </c>
      <c r="BA189" s="83" t="s">
        <v>1077</v>
      </c>
      <c r="BC189" s="35">
        <f>AW189+AX189</f>
        <v>642</v>
      </c>
      <c r="BD189" s="35">
        <f>I189/(100-BE189)*100</f>
        <v>642</v>
      </c>
      <c r="BE189" s="35">
        <v>0</v>
      </c>
      <c r="BF189" s="35">
        <f>189</f>
        <v>189</v>
      </c>
      <c r="BH189" s="65">
        <f>H189*AO189</f>
        <v>642</v>
      </c>
      <c r="BI189" s="65">
        <f>H189*AP189</f>
        <v>0</v>
      </c>
      <c r="BJ189" s="65">
        <f>H189*I189</f>
        <v>642</v>
      </c>
      <c r="BK189" s="65" t="s">
        <v>1001</v>
      </c>
      <c r="BL189" s="35">
        <v>751</v>
      </c>
    </row>
    <row r="190" spans="1:64" x14ac:dyDescent="0.2">
      <c r="A190" s="19"/>
      <c r="C190" s="59" t="s">
        <v>521</v>
      </c>
      <c r="D190" s="180" t="s">
        <v>942</v>
      </c>
      <c r="E190" s="181"/>
      <c r="F190" s="181"/>
      <c r="G190" s="181"/>
      <c r="H190" s="181"/>
      <c r="I190" s="182"/>
      <c r="J190" s="181"/>
      <c r="K190" s="181"/>
      <c r="L190" s="181"/>
      <c r="M190" s="183"/>
      <c r="N190" s="19"/>
    </row>
    <row r="191" spans="1:64" x14ac:dyDescent="0.2">
      <c r="A191" s="49" t="s">
        <v>221</v>
      </c>
      <c r="B191" s="57" t="s">
        <v>63</v>
      </c>
      <c r="C191" s="57" t="s">
        <v>609</v>
      </c>
      <c r="D191" s="186" t="s">
        <v>943</v>
      </c>
      <c r="E191" s="187"/>
      <c r="F191" s="187"/>
      <c r="G191" s="57" t="s">
        <v>1004</v>
      </c>
      <c r="H191" s="65">
        <v>2</v>
      </c>
      <c r="I191" s="73">
        <v>751</v>
      </c>
      <c r="J191" s="65">
        <f>H191*AO191</f>
        <v>1502</v>
      </c>
      <c r="K191" s="65">
        <f>H191*AP191</f>
        <v>0</v>
      </c>
      <c r="L191" s="65">
        <f>H191*I191</f>
        <v>1502</v>
      </c>
      <c r="M191" s="81"/>
      <c r="N191" s="19"/>
      <c r="Z191" s="35">
        <f>IF(AQ191="5",BJ191,0)</f>
        <v>0</v>
      </c>
      <c r="AB191" s="35">
        <f>IF(AQ191="1",BH191,0)</f>
        <v>0</v>
      </c>
      <c r="AC191" s="35">
        <f>IF(AQ191="1",BI191,0)</f>
        <v>0</v>
      </c>
      <c r="AD191" s="35">
        <f>IF(AQ191="7",BH191,0)</f>
        <v>1502</v>
      </c>
      <c r="AE191" s="35">
        <f>IF(AQ191="7",BI191,0)</f>
        <v>0</v>
      </c>
      <c r="AF191" s="35">
        <f>IF(AQ191="2",BH191,0)</f>
        <v>0</v>
      </c>
      <c r="AG191" s="35">
        <f>IF(AQ191="2",BI191,0)</f>
        <v>0</v>
      </c>
      <c r="AH191" s="35">
        <f>IF(AQ191="0",BJ191,0)</f>
        <v>0</v>
      </c>
      <c r="AI191" s="83" t="s">
        <v>63</v>
      </c>
      <c r="AJ191" s="65">
        <f>IF(AN191=0,L191,0)</f>
        <v>0</v>
      </c>
      <c r="AK191" s="65">
        <f>IF(AN191=15,L191,0)</f>
        <v>0</v>
      </c>
      <c r="AL191" s="65">
        <f>IF(AN191=21,L191,0)</f>
        <v>1502</v>
      </c>
      <c r="AN191" s="35">
        <v>21</v>
      </c>
      <c r="AO191" s="35">
        <f>I191*1</f>
        <v>751</v>
      </c>
      <c r="AP191" s="35">
        <f>I191*(1-1)</f>
        <v>0</v>
      </c>
      <c r="AQ191" s="85" t="s">
        <v>144</v>
      </c>
      <c r="AV191" s="35">
        <f>AW191+AX191</f>
        <v>1502</v>
      </c>
      <c r="AW191" s="35">
        <f>H191*AO191</f>
        <v>1502</v>
      </c>
      <c r="AX191" s="35">
        <f>H191*AP191</f>
        <v>0</v>
      </c>
      <c r="AY191" s="86" t="s">
        <v>1046</v>
      </c>
      <c r="AZ191" s="86" t="s">
        <v>1058</v>
      </c>
      <c r="BA191" s="83" t="s">
        <v>1077</v>
      </c>
      <c r="BC191" s="35">
        <f>AW191+AX191</f>
        <v>1502</v>
      </c>
      <c r="BD191" s="35">
        <f>I191/(100-BE191)*100</f>
        <v>751</v>
      </c>
      <c r="BE191" s="35">
        <v>0</v>
      </c>
      <c r="BF191" s="35">
        <f>191</f>
        <v>191</v>
      </c>
      <c r="BH191" s="65">
        <f>H191*AO191</f>
        <v>1502</v>
      </c>
      <c r="BI191" s="65">
        <f>H191*AP191</f>
        <v>0</v>
      </c>
      <c r="BJ191" s="65">
        <f>H191*I191</f>
        <v>1502</v>
      </c>
      <c r="BK191" s="65" t="s">
        <v>1001</v>
      </c>
      <c r="BL191" s="35">
        <v>751</v>
      </c>
    </row>
    <row r="192" spans="1:64" x14ac:dyDescent="0.2">
      <c r="A192" s="19"/>
      <c r="C192" s="59" t="s">
        <v>521</v>
      </c>
      <c r="D192" s="180" t="s">
        <v>943</v>
      </c>
      <c r="E192" s="181"/>
      <c r="F192" s="181"/>
      <c r="G192" s="181"/>
      <c r="H192" s="181"/>
      <c r="I192" s="182"/>
      <c r="J192" s="181"/>
      <c r="K192" s="181"/>
      <c r="L192" s="181"/>
      <c r="M192" s="183"/>
      <c r="N192" s="19"/>
    </row>
    <row r="193" spans="1:64" x14ac:dyDescent="0.2">
      <c r="A193" s="49" t="s">
        <v>110</v>
      </c>
      <c r="B193" s="57" t="s">
        <v>63</v>
      </c>
      <c r="C193" s="57" t="s">
        <v>610</v>
      </c>
      <c r="D193" s="186" t="s">
        <v>944</v>
      </c>
      <c r="E193" s="187"/>
      <c r="F193" s="187"/>
      <c r="G193" s="57" t="s">
        <v>1004</v>
      </c>
      <c r="H193" s="65">
        <v>2</v>
      </c>
      <c r="I193" s="73">
        <v>642</v>
      </c>
      <c r="J193" s="65">
        <f>H193*AO193</f>
        <v>1284</v>
      </c>
      <c r="K193" s="65">
        <f>H193*AP193</f>
        <v>0</v>
      </c>
      <c r="L193" s="65">
        <f>H193*I193</f>
        <v>1284</v>
      </c>
      <c r="M193" s="81"/>
      <c r="N193" s="19"/>
      <c r="Z193" s="35">
        <f>IF(AQ193="5",BJ193,0)</f>
        <v>0</v>
      </c>
      <c r="AB193" s="35">
        <f>IF(AQ193="1",BH193,0)</f>
        <v>0</v>
      </c>
      <c r="AC193" s="35">
        <f>IF(AQ193="1",BI193,0)</f>
        <v>0</v>
      </c>
      <c r="AD193" s="35">
        <f>IF(AQ193="7",BH193,0)</f>
        <v>1284</v>
      </c>
      <c r="AE193" s="35">
        <f>IF(AQ193="7",BI193,0)</f>
        <v>0</v>
      </c>
      <c r="AF193" s="35">
        <f>IF(AQ193="2",BH193,0)</f>
        <v>0</v>
      </c>
      <c r="AG193" s="35">
        <f>IF(AQ193="2",BI193,0)</f>
        <v>0</v>
      </c>
      <c r="AH193" s="35">
        <f>IF(AQ193="0",BJ193,0)</f>
        <v>0</v>
      </c>
      <c r="AI193" s="83" t="s">
        <v>63</v>
      </c>
      <c r="AJ193" s="65">
        <f>IF(AN193=0,L193,0)</f>
        <v>0</v>
      </c>
      <c r="AK193" s="65">
        <f>IF(AN193=15,L193,0)</f>
        <v>0</v>
      </c>
      <c r="AL193" s="65">
        <f>IF(AN193=21,L193,0)</f>
        <v>1284</v>
      </c>
      <c r="AN193" s="35">
        <v>21</v>
      </c>
      <c r="AO193" s="35">
        <f>I193*1</f>
        <v>642</v>
      </c>
      <c r="AP193" s="35">
        <f>I193*(1-1)</f>
        <v>0</v>
      </c>
      <c r="AQ193" s="85" t="s">
        <v>144</v>
      </c>
      <c r="AV193" s="35">
        <f>AW193+AX193</f>
        <v>1284</v>
      </c>
      <c r="AW193" s="35">
        <f>H193*AO193</f>
        <v>1284</v>
      </c>
      <c r="AX193" s="35">
        <f>H193*AP193</f>
        <v>0</v>
      </c>
      <c r="AY193" s="86" t="s">
        <v>1046</v>
      </c>
      <c r="AZ193" s="86" t="s">
        <v>1058</v>
      </c>
      <c r="BA193" s="83" t="s">
        <v>1077</v>
      </c>
      <c r="BC193" s="35">
        <f>AW193+AX193</f>
        <v>1284</v>
      </c>
      <c r="BD193" s="35">
        <f>I193/(100-BE193)*100</f>
        <v>642</v>
      </c>
      <c r="BE193" s="35">
        <v>0</v>
      </c>
      <c r="BF193" s="35">
        <f>193</f>
        <v>193</v>
      </c>
      <c r="BH193" s="65">
        <f>H193*AO193</f>
        <v>1284</v>
      </c>
      <c r="BI193" s="65">
        <f>H193*AP193</f>
        <v>0</v>
      </c>
      <c r="BJ193" s="65">
        <f>H193*I193</f>
        <v>1284</v>
      </c>
      <c r="BK193" s="65" t="s">
        <v>1001</v>
      </c>
      <c r="BL193" s="35">
        <v>751</v>
      </c>
    </row>
    <row r="194" spans="1:64" x14ac:dyDescent="0.2">
      <c r="A194" s="19"/>
      <c r="C194" s="59" t="s">
        <v>521</v>
      </c>
      <c r="D194" s="180" t="s">
        <v>944</v>
      </c>
      <c r="E194" s="181"/>
      <c r="F194" s="181"/>
      <c r="G194" s="181"/>
      <c r="H194" s="181"/>
      <c r="I194" s="182"/>
      <c r="J194" s="181"/>
      <c r="K194" s="181"/>
      <c r="L194" s="181"/>
      <c r="M194" s="183"/>
      <c r="N194" s="19"/>
    </row>
    <row r="195" spans="1:64" x14ac:dyDescent="0.2">
      <c r="A195" s="49" t="s">
        <v>111</v>
      </c>
      <c r="B195" s="57" t="s">
        <v>63</v>
      </c>
      <c r="C195" s="57" t="s">
        <v>611</v>
      </c>
      <c r="D195" s="186" t="s">
        <v>945</v>
      </c>
      <c r="E195" s="187"/>
      <c r="F195" s="187"/>
      <c r="G195" s="57" t="s">
        <v>1004</v>
      </c>
      <c r="H195" s="65">
        <v>2</v>
      </c>
      <c r="I195" s="73">
        <v>408</v>
      </c>
      <c r="J195" s="65">
        <f>H195*AO195</f>
        <v>816</v>
      </c>
      <c r="K195" s="65">
        <f>H195*AP195</f>
        <v>0</v>
      </c>
      <c r="L195" s="65">
        <f>H195*I195</f>
        <v>816</v>
      </c>
      <c r="M195" s="81"/>
      <c r="N195" s="19"/>
      <c r="Z195" s="35">
        <f>IF(AQ195="5",BJ195,0)</f>
        <v>0</v>
      </c>
      <c r="AB195" s="35">
        <f>IF(AQ195="1",BH195,0)</f>
        <v>0</v>
      </c>
      <c r="AC195" s="35">
        <f>IF(AQ195="1",BI195,0)</f>
        <v>0</v>
      </c>
      <c r="AD195" s="35">
        <f>IF(AQ195="7",BH195,0)</f>
        <v>816</v>
      </c>
      <c r="AE195" s="35">
        <f>IF(AQ195="7",BI195,0)</f>
        <v>0</v>
      </c>
      <c r="AF195" s="35">
        <f>IF(AQ195="2",BH195,0)</f>
        <v>0</v>
      </c>
      <c r="AG195" s="35">
        <f>IF(AQ195="2",BI195,0)</f>
        <v>0</v>
      </c>
      <c r="AH195" s="35">
        <f>IF(AQ195="0",BJ195,0)</f>
        <v>0</v>
      </c>
      <c r="AI195" s="83" t="s">
        <v>63</v>
      </c>
      <c r="AJ195" s="65">
        <f>IF(AN195=0,L195,0)</f>
        <v>0</v>
      </c>
      <c r="AK195" s="65">
        <f>IF(AN195=15,L195,0)</f>
        <v>0</v>
      </c>
      <c r="AL195" s="65">
        <f>IF(AN195=21,L195,0)</f>
        <v>816</v>
      </c>
      <c r="AN195" s="35">
        <v>21</v>
      </c>
      <c r="AO195" s="35">
        <f>I195*1</f>
        <v>408</v>
      </c>
      <c r="AP195" s="35">
        <f>I195*(1-1)</f>
        <v>0</v>
      </c>
      <c r="AQ195" s="85" t="s">
        <v>144</v>
      </c>
      <c r="AV195" s="35">
        <f>AW195+AX195</f>
        <v>816</v>
      </c>
      <c r="AW195" s="35">
        <f>H195*AO195</f>
        <v>816</v>
      </c>
      <c r="AX195" s="35">
        <f>H195*AP195</f>
        <v>0</v>
      </c>
      <c r="AY195" s="86" t="s">
        <v>1046</v>
      </c>
      <c r="AZ195" s="86" t="s">
        <v>1058</v>
      </c>
      <c r="BA195" s="83" t="s">
        <v>1077</v>
      </c>
      <c r="BC195" s="35">
        <f>AW195+AX195</f>
        <v>816</v>
      </c>
      <c r="BD195" s="35">
        <f>I195/(100-BE195)*100</f>
        <v>408</v>
      </c>
      <c r="BE195" s="35">
        <v>0</v>
      </c>
      <c r="BF195" s="35">
        <f>195</f>
        <v>195</v>
      </c>
      <c r="BH195" s="65">
        <f>H195*AO195</f>
        <v>816</v>
      </c>
      <c r="BI195" s="65">
        <f>H195*AP195</f>
        <v>0</v>
      </c>
      <c r="BJ195" s="65">
        <f>H195*I195</f>
        <v>816</v>
      </c>
      <c r="BK195" s="65" t="s">
        <v>1001</v>
      </c>
      <c r="BL195" s="35">
        <v>751</v>
      </c>
    </row>
    <row r="196" spans="1:64" x14ac:dyDescent="0.2">
      <c r="A196" s="19"/>
      <c r="C196" s="59" t="s">
        <v>521</v>
      </c>
      <c r="D196" s="180" t="s">
        <v>945</v>
      </c>
      <c r="E196" s="181"/>
      <c r="F196" s="181"/>
      <c r="G196" s="181"/>
      <c r="H196" s="181"/>
      <c r="I196" s="182"/>
      <c r="J196" s="181"/>
      <c r="K196" s="181"/>
      <c r="L196" s="181"/>
      <c r="M196" s="183"/>
      <c r="N196" s="19"/>
    </row>
    <row r="197" spans="1:64" x14ac:dyDescent="0.2">
      <c r="A197" s="49" t="s">
        <v>222</v>
      </c>
      <c r="B197" s="57" t="s">
        <v>63</v>
      </c>
      <c r="C197" s="57" t="s">
        <v>612</v>
      </c>
      <c r="D197" s="186" t="s">
        <v>946</v>
      </c>
      <c r="E197" s="187"/>
      <c r="F197" s="187"/>
      <c r="G197" s="57" t="s">
        <v>1004</v>
      </c>
      <c r="H197" s="65">
        <v>2</v>
      </c>
      <c r="I197" s="73">
        <v>221</v>
      </c>
      <c r="J197" s="65">
        <f>H197*AO197</f>
        <v>442</v>
      </c>
      <c r="K197" s="65">
        <f>H197*AP197</f>
        <v>0</v>
      </c>
      <c r="L197" s="65">
        <f>H197*I197</f>
        <v>442</v>
      </c>
      <c r="M197" s="81"/>
      <c r="N197" s="19"/>
      <c r="Z197" s="35">
        <f>IF(AQ197="5",BJ197,0)</f>
        <v>0</v>
      </c>
      <c r="AB197" s="35">
        <f>IF(AQ197="1",BH197,0)</f>
        <v>0</v>
      </c>
      <c r="AC197" s="35">
        <f>IF(AQ197="1",BI197,0)</f>
        <v>0</v>
      </c>
      <c r="AD197" s="35">
        <f>IF(AQ197="7",BH197,0)</f>
        <v>442</v>
      </c>
      <c r="AE197" s="35">
        <f>IF(AQ197="7",BI197,0)</f>
        <v>0</v>
      </c>
      <c r="AF197" s="35">
        <f>IF(AQ197="2",BH197,0)</f>
        <v>0</v>
      </c>
      <c r="AG197" s="35">
        <f>IF(AQ197="2",BI197,0)</f>
        <v>0</v>
      </c>
      <c r="AH197" s="35">
        <f>IF(AQ197="0",BJ197,0)</f>
        <v>0</v>
      </c>
      <c r="AI197" s="83" t="s">
        <v>63</v>
      </c>
      <c r="AJ197" s="65">
        <f>IF(AN197=0,L197,0)</f>
        <v>0</v>
      </c>
      <c r="AK197" s="65">
        <f>IF(AN197=15,L197,0)</f>
        <v>0</v>
      </c>
      <c r="AL197" s="65">
        <f>IF(AN197=21,L197,0)</f>
        <v>442</v>
      </c>
      <c r="AN197" s="35">
        <v>21</v>
      </c>
      <c r="AO197" s="35">
        <f>I197*1</f>
        <v>221</v>
      </c>
      <c r="AP197" s="35">
        <f>I197*(1-1)</f>
        <v>0</v>
      </c>
      <c r="AQ197" s="85" t="s">
        <v>144</v>
      </c>
      <c r="AV197" s="35">
        <f>AW197+AX197</f>
        <v>442</v>
      </c>
      <c r="AW197" s="35">
        <f>H197*AO197</f>
        <v>442</v>
      </c>
      <c r="AX197" s="35">
        <f>H197*AP197</f>
        <v>0</v>
      </c>
      <c r="AY197" s="86" t="s">
        <v>1046</v>
      </c>
      <c r="AZ197" s="86" t="s">
        <v>1058</v>
      </c>
      <c r="BA197" s="83" t="s">
        <v>1077</v>
      </c>
      <c r="BC197" s="35">
        <f>AW197+AX197</f>
        <v>442</v>
      </c>
      <c r="BD197" s="35">
        <f>I197/(100-BE197)*100</f>
        <v>221</v>
      </c>
      <c r="BE197" s="35">
        <v>0</v>
      </c>
      <c r="BF197" s="35">
        <f>197</f>
        <v>197</v>
      </c>
      <c r="BH197" s="65">
        <f>H197*AO197</f>
        <v>442</v>
      </c>
      <c r="BI197" s="65">
        <f>H197*AP197</f>
        <v>0</v>
      </c>
      <c r="BJ197" s="65">
        <f>H197*I197</f>
        <v>442</v>
      </c>
      <c r="BK197" s="65" t="s">
        <v>1001</v>
      </c>
      <c r="BL197" s="35">
        <v>751</v>
      </c>
    </row>
    <row r="198" spans="1:64" x14ac:dyDescent="0.2">
      <c r="A198" s="19"/>
      <c r="C198" s="59" t="s">
        <v>521</v>
      </c>
      <c r="D198" s="180" t="s">
        <v>945</v>
      </c>
      <c r="E198" s="181"/>
      <c r="F198" s="181"/>
      <c r="G198" s="181"/>
      <c r="H198" s="181"/>
      <c r="I198" s="182"/>
      <c r="J198" s="181"/>
      <c r="K198" s="181"/>
      <c r="L198" s="181"/>
      <c r="M198" s="183"/>
      <c r="N198" s="19"/>
    </row>
    <row r="199" spans="1:64" x14ac:dyDescent="0.2">
      <c r="A199" s="49" t="s">
        <v>223</v>
      </c>
      <c r="B199" s="57" t="s">
        <v>63</v>
      </c>
      <c r="C199" s="57" t="s">
        <v>613</v>
      </c>
      <c r="D199" s="186" t="s">
        <v>947</v>
      </c>
      <c r="E199" s="187"/>
      <c r="F199" s="187"/>
      <c r="G199" s="57" t="s">
        <v>1004</v>
      </c>
      <c r="H199" s="65">
        <v>1</v>
      </c>
      <c r="I199" s="73">
        <v>221</v>
      </c>
      <c r="J199" s="65">
        <f>H199*AO199</f>
        <v>221</v>
      </c>
      <c r="K199" s="65">
        <f>H199*AP199</f>
        <v>0</v>
      </c>
      <c r="L199" s="65">
        <f>H199*I199</f>
        <v>221</v>
      </c>
      <c r="M199" s="81"/>
      <c r="N199" s="19"/>
      <c r="Z199" s="35">
        <f>IF(AQ199="5",BJ199,0)</f>
        <v>0</v>
      </c>
      <c r="AB199" s="35">
        <f>IF(AQ199="1",BH199,0)</f>
        <v>0</v>
      </c>
      <c r="AC199" s="35">
        <f>IF(AQ199="1",BI199,0)</f>
        <v>0</v>
      </c>
      <c r="AD199" s="35">
        <f>IF(AQ199="7",BH199,0)</f>
        <v>221</v>
      </c>
      <c r="AE199" s="35">
        <f>IF(AQ199="7",BI199,0)</f>
        <v>0</v>
      </c>
      <c r="AF199" s="35">
        <f>IF(AQ199="2",BH199,0)</f>
        <v>0</v>
      </c>
      <c r="AG199" s="35">
        <f>IF(AQ199="2",BI199,0)</f>
        <v>0</v>
      </c>
      <c r="AH199" s="35">
        <f>IF(AQ199="0",BJ199,0)</f>
        <v>0</v>
      </c>
      <c r="AI199" s="83" t="s">
        <v>63</v>
      </c>
      <c r="AJ199" s="65">
        <f>IF(AN199=0,L199,0)</f>
        <v>0</v>
      </c>
      <c r="AK199" s="65">
        <f>IF(AN199=15,L199,0)</f>
        <v>0</v>
      </c>
      <c r="AL199" s="65">
        <f>IF(AN199=21,L199,0)</f>
        <v>221</v>
      </c>
      <c r="AN199" s="35">
        <v>21</v>
      </c>
      <c r="AO199" s="35">
        <f>I199*1</f>
        <v>221</v>
      </c>
      <c r="AP199" s="35">
        <f>I199*(1-1)</f>
        <v>0</v>
      </c>
      <c r="AQ199" s="85" t="s">
        <v>144</v>
      </c>
      <c r="AV199" s="35">
        <f>AW199+AX199</f>
        <v>221</v>
      </c>
      <c r="AW199" s="35">
        <f>H199*AO199</f>
        <v>221</v>
      </c>
      <c r="AX199" s="35">
        <f>H199*AP199</f>
        <v>0</v>
      </c>
      <c r="AY199" s="86" t="s">
        <v>1046</v>
      </c>
      <c r="AZ199" s="86" t="s">
        <v>1058</v>
      </c>
      <c r="BA199" s="83" t="s">
        <v>1077</v>
      </c>
      <c r="BC199" s="35">
        <f>AW199+AX199</f>
        <v>221</v>
      </c>
      <c r="BD199" s="35">
        <f>I199/(100-BE199)*100</f>
        <v>221</v>
      </c>
      <c r="BE199" s="35">
        <v>0</v>
      </c>
      <c r="BF199" s="35">
        <f>199</f>
        <v>199</v>
      </c>
      <c r="BH199" s="65">
        <f>H199*AO199</f>
        <v>221</v>
      </c>
      <c r="BI199" s="65">
        <f>H199*AP199</f>
        <v>0</v>
      </c>
      <c r="BJ199" s="65">
        <f>H199*I199</f>
        <v>221</v>
      </c>
      <c r="BK199" s="65" t="s">
        <v>1001</v>
      </c>
      <c r="BL199" s="35">
        <v>751</v>
      </c>
    </row>
    <row r="200" spans="1:64" x14ac:dyDescent="0.2">
      <c r="A200" s="19"/>
      <c r="C200" s="59" t="s">
        <v>521</v>
      </c>
      <c r="D200" s="180" t="s">
        <v>947</v>
      </c>
      <c r="E200" s="181"/>
      <c r="F200" s="181"/>
      <c r="G200" s="181"/>
      <c r="H200" s="181"/>
      <c r="I200" s="182"/>
      <c r="J200" s="181"/>
      <c r="K200" s="181"/>
      <c r="L200" s="181"/>
      <c r="M200" s="183"/>
      <c r="N200" s="19"/>
    </row>
    <row r="201" spans="1:64" x14ac:dyDescent="0.2">
      <c r="A201" s="47" t="s">
        <v>224</v>
      </c>
      <c r="B201" s="55" t="s">
        <v>63</v>
      </c>
      <c r="C201" s="55" t="s">
        <v>614</v>
      </c>
      <c r="D201" s="178" t="s">
        <v>948</v>
      </c>
      <c r="E201" s="179"/>
      <c r="F201" s="179"/>
      <c r="G201" s="55" t="s">
        <v>1003</v>
      </c>
      <c r="H201" s="64">
        <v>3</v>
      </c>
      <c r="I201" s="71">
        <v>89</v>
      </c>
      <c r="J201" s="64">
        <f>H201*AO201</f>
        <v>0</v>
      </c>
      <c r="K201" s="64">
        <f>H201*AP201</f>
        <v>267</v>
      </c>
      <c r="L201" s="64">
        <f>H201*I201</f>
        <v>267</v>
      </c>
      <c r="M201" s="79"/>
      <c r="N201" s="19"/>
      <c r="Z201" s="35">
        <f>IF(AQ201="5",BJ201,0)</f>
        <v>0</v>
      </c>
      <c r="AB201" s="35">
        <f>IF(AQ201="1",BH201,0)</f>
        <v>0</v>
      </c>
      <c r="AC201" s="35">
        <f>IF(AQ201="1",BI201,0)</f>
        <v>0</v>
      </c>
      <c r="AD201" s="35">
        <f>IF(AQ201="7",BH201,0)</f>
        <v>0</v>
      </c>
      <c r="AE201" s="35">
        <f>IF(AQ201="7",BI201,0)</f>
        <v>267</v>
      </c>
      <c r="AF201" s="35">
        <f>IF(AQ201="2",BH201,0)</f>
        <v>0</v>
      </c>
      <c r="AG201" s="35">
        <f>IF(AQ201="2",BI201,0)</f>
        <v>0</v>
      </c>
      <c r="AH201" s="35">
        <f>IF(AQ201="0",BJ201,0)</f>
        <v>0</v>
      </c>
      <c r="AI201" s="83" t="s">
        <v>63</v>
      </c>
      <c r="AJ201" s="64">
        <f>IF(AN201=0,L201,0)</f>
        <v>0</v>
      </c>
      <c r="AK201" s="64">
        <f>IF(AN201=15,L201,0)</f>
        <v>0</v>
      </c>
      <c r="AL201" s="64">
        <f>IF(AN201=21,L201,0)</f>
        <v>267</v>
      </c>
      <c r="AN201" s="35">
        <v>21</v>
      </c>
      <c r="AO201" s="35">
        <f>I201*0</f>
        <v>0</v>
      </c>
      <c r="AP201" s="35">
        <f>I201*(1-0)</f>
        <v>89</v>
      </c>
      <c r="AQ201" s="84" t="s">
        <v>144</v>
      </c>
      <c r="AV201" s="35">
        <f>AW201+AX201</f>
        <v>267</v>
      </c>
      <c r="AW201" s="35">
        <f>H201*AO201</f>
        <v>0</v>
      </c>
      <c r="AX201" s="35">
        <f>H201*AP201</f>
        <v>267</v>
      </c>
      <c r="AY201" s="86" t="s">
        <v>1046</v>
      </c>
      <c r="AZ201" s="86" t="s">
        <v>1058</v>
      </c>
      <c r="BA201" s="83" t="s">
        <v>1077</v>
      </c>
      <c r="BC201" s="35">
        <f>AW201+AX201</f>
        <v>267</v>
      </c>
      <c r="BD201" s="35">
        <f>I201/(100-BE201)*100</f>
        <v>89</v>
      </c>
      <c r="BE201" s="35">
        <v>0</v>
      </c>
      <c r="BF201" s="35">
        <f>201</f>
        <v>201</v>
      </c>
      <c r="BH201" s="64">
        <f>H201*AO201</f>
        <v>0</v>
      </c>
      <c r="BI201" s="64">
        <f>H201*AP201</f>
        <v>267</v>
      </c>
      <c r="BJ201" s="64">
        <f>H201*I201</f>
        <v>267</v>
      </c>
      <c r="BK201" s="64" t="s">
        <v>1086</v>
      </c>
      <c r="BL201" s="35">
        <v>751</v>
      </c>
    </row>
    <row r="202" spans="1:64" x14ac:dyDescent="0.2">
      <c r="A202" s="19"/>
      <c r="C202" s="59" t="s">
        <v>521</v>
      </c>
      <c r="D202" s="180" t="s">
        <v>948</v>
      </c>
      <c r="E202" s="181"/>
      <c r="F202" s="181"/>
      <c r="G202" s="181"/>
      <c r="H202" s="181"/>
      <c r="I202" s="182"/>
      <c r="J202" s="181"/>
      <c r="K202" s="181"/>
      <c r="L202" s="181"/>
      <c r="M202" s="183"/>
      <c r="N202" s="19"/>
    </row>
    <row r="203" spans="1:64" x14ac:dyDescent="0.2">
      <c r="A203" s="49" t="s">
        <v>225</v>
      </c>
      <c r="B203" s="57" t="s">
        <v>63</v>
      </c>
      <c r="C203" s="57" t="s">
        <v>615</v>
      </c>
      <c r="D203" s="186" t="s">
        <v>949</v>
      </c>
      <c r="E203" s="187"/>
      <c r="F203" s="187"/>
      <c r="G203" s="57"/>
      <c r="H203" s="65">
        <v>3</v>
      </c>
      <c r="I203" s="73">
        <v>470</v>
      </c>
      <c r="J203" s="65">
        <f>H203*AO203</f>
        <v>1410</v>
      </c>
      <c r="K203" s="65">
        <f>H203*AP203</f>
        <v>0</v>
      </c>
      <c r="L203" s="65">
        <f>H203*I203</f>
        <v>1410</v>
      </c>
      <c r="M203" s="81"/>
      <c r="N203" s="19"/>
      <c r="Z203" s="35">
        <f>IF(AQ203="5",BJ203,0)</f>
        <v>0</v>
      </c>
      <c r="AB203" s="35">
        <f>IF(AQ203="1",BH203,0)</f>
        <v>0</v>
      </c>
      <c r="AC203" s="35">
        <f>IF(AQ203="1",BI203,0)</f>
        <v>0</v>
      </c>
      <c r="AD203" s="35">
        <f>IF(AQ203="7",BH203,0)</f>
        <v>1410</v>
      </c>
      <c r="AE203" s="35">
        <f>IF(AQ203="7",BI203,0)</f>
        <v>0</v>
      </c>
      <c r="AF203" s="35">
        <f>IF(AQ203="2",BH203,0)</f>
        <v>0</v>
      </c>
      <c r="AG203" s="35">
        <f>IF(AQ203="2",BI203,0)</f>
        <v>0</v>
      </c>
      <c r="AH203" s="35">
        <f>IF(AQ203="0",BJ203,0)</f>
        <v>0</v>
      </c>
      <c r="AI203" s="83" t="s">
        <v>63</v>
      </c>
      <c r="AJ203" s="65">
        <f>IF(AN203=0,L203,0)</f>
        <v>0</v>
      </c>
      <c r="AK203" s="65">
        <f>IF(AN203=15,L203,0)</f>
        <v>0</v>
      </c>
      <c r="AL203" s="65">
        <f>IF(AN203=21,L203,0)</f>
        <v>1410</v>
      </c>
      <c r="AN203" s="35">
        <v>21</v>
      </c>
      <c r="AO203" s="35">
        <f>I203*1</f>
        <v>470</v>
      </c>
      <c r="AP203" s="35">
        <f>I203*(1-1)</f>
        <v>0</v>
      </c>
      <c r="AQ203" s="85" t="s">
        <v>144</v>
      </c>
      <c r="AV203" s="35">
        <f>AW203+AX203</f>
        <v>1410</v>
      </c>
      <c r="AW203" s="35">
        <f>H203*AO203</f>
        <v>1410</v>
      </c>
      <c r="AX203" s="35">
        <f>H203*AP203</f>
        <v>0</v>
      </c>
      <c r="AY203" s="86" t="s">
        <v>1046</v>
      </c>
      <c r="AZ203" s="86" t="s">
        <v>1058</v>
      </c>
      <c r="BA203" s="83" t="s">
        <v>1077</v>
      </c>
      <c r="BC203" s="35">
        <f>AW203+AX203</f>
        <v>1410</v>
      </c>
      <c r="BD203" s="35">
        <f>I203/(100-BE203)*100</f>
        <v>470</v>
      </c>
      <c r="BE203" s="35">
        <v>0</v>
      </c>
      <c r="BF203" s="35">
        <f>203</f>
        <v>203</v>
      </c>
      <c r="BH203" s="65">
        <f>H203*AO203</f>
        <v>1410</v>
      </c>
      <c r="BI203" s="65">
        <f>H203*AP203</f>
        <v>0</v>
      </c>
      <c r="BJ203" s="65">
        <f>H203*I203</f>
        <v>1410</v>
      </c>
      <c r="BK203" s="65" t="s">
        <v>1001</v>
      </c>
      <c r="BL203" s="35">
        <v>751</v>
      </c>
    </row>
    <row r="204" spans="1:64" x14ac:dyDescent="0.2">
      <c r="A204" s="19"/>
      <c r="C204" s="59" t="s">
        <v>521</v>
      </c>
      <c r="D204" s="180" t="s">
        <v>949</v>
      </c>
      <c r="E204" s="181"/>
      <c r="F204" s="181"/>
      <c r="G204" s="181"/>
      <c r="H204" s="181"/>
      <c r="I204" s="182"/>
      <c r="J204" s="181"/>
      <c r="K204" s="181"/>
      <c r="L204" s="181"/>
      <c r="M204" s="183"/>
      <c r="N204" s="19"/>
    </row>
    <row r="205" spans="1:64" x14ac:dyDescent="0.2">
      <c r="A205" s="47" t="s">
        <v>226</v>
      </c>
      <c r="B205" s="55" t="s">
        <v>63</v>
      </c>
      <c r="C205" s="55" t="s">
        <v>616</v>
      </c>
      <c r="D205" s="178" t="s">
        <v>950</v>
      </c>
      <c r="E205" s="179"/>
      <c r="F205" s="179"/>
      <c r="G205" s="55" t="s">
        <v>1003</v>
      </c>
      <c r="H205" s="64">
        <v>4</v>
      </c>
      <c r="I205" s="71">
        <v>310</v>
      </c>
      <c r="J205" s="64">
        <f>H205*AO205</f>
        <v>0</v>
      </c>
      <c r="K205" s="64">
        <f>H205*AP205</f>
        <v>1240</v>
      </c>
      <c r="L205" s="64">
        <f>H205*I205</f>
        <v>1240</v>
      </c>
      <c r="M205" s="79"/>
      <c r="N205" s="19"/>
      <c r="Z205" s="35">
        <f>IF(AQ205="5",BJ205,0)</f>
        <v>0</v>
      </c>
      <c r="AB205" s="35">
        <f>IF(AQ205="1",BH205,0)</f>
        <v>0</v>
      </c>
      <c r="AC205" s="35">
        <f>IF(AQ205="1",BI205,0)</f>
        <v>0</v>
      </c>
      <c r="AD205" s="35">
        <f>IF(AQ205="7",BH205,0)</f>
        <v>0</v>
      </c>
      <c r="AE205" s="35">
        <f>IF(AQ205="7",BI205,0)</f>
        <v>1240</v>
      </c>
      <c r="AF205" s="35">
        <f>IF(AQ205="2",BH205,0)</f>
        <v>0</v>
      </c>
      <c r="AG205" s="35">
        <f>IF(AQ205="2",BI205,0)</f>
        <v>0</v>
      </c>
      <c r="AH205" s="35">
        <f>IF(AQ205="0",BJ205,0)</f>
        <v>0</v>
      </c>
      <c r="AI205" s="83" t="s">
        <v>63</v>
      </c>
      <c r="AJ205" s="64">
        <f>IF(AN205=0,L205,0)</f>
        <v>0</v>
      </c>
      <c r="AK205" s="64">
        <f>IF(AN205=15,L205,0)</f>
        <v>0</v>
      </c>
      <c r="AL205" s="64">
        <f>IF(AN205=21,L205,0)</f>
        <v>1240</v>
      </c>
      <c r="AN205" s="35">
        <v>21</v>
      </c>
      <c r="AO205" s="35">
        <f>I205*0</f>
        <v>0</v>
      </c>
      <c r="AP205" s="35">
        <f>I205*(1-0)</f>
        <v>310</v>
      </c>
      <c r="AQ205" s="84" t="s">
        <v>144</v>
      </c>
      <c r="AV205" s="35">
        <f>AW205+AX205</f>
        <v>1240</v>
      </c>
      <c r="AW205" s="35">
        <f>H205*AO205</f>
        <v>0</v>
      </c>
      <c r="AX205" s="35">
        <f>H205*AP205</f>
        <v>1240</v>
      </c>
      <c r="AY205" s="86" t="s">
        <v>1046</v>
      </c>
      <c r="AZ205" s="86" t="s">
        <v>1058</v>
      </c>
      <c r="BA205" s="83" t="s">
        <v>1077</v>
      </c>
      <c r="BC205" s="35">
        <f>AW205+AX205</f>
        <v>1240</v>
      </c>
      <c r="BD205" s="35">
        <f>I205/(100-BE205)*100</f>
        <v>310</v>
      </c>
      <c r="BE205" s="35">
        <v>0</v>
      </c>
      <c r="BF205" s="35">
        <f>205</f>
        <v>205</v>
      </c>
      <c r="BH205" s="64">
        <f>H205*AO205</f>
        <v>0</v>
      </c>
      <c r="BI205" s="64">
        <f>H205*AP205</f>
        <v>1240</v>
      </c>
      <c r="BJ205" s="64">
        <f>H205*I205</f>
        <v>1240</v>
      </c>
      <c r="BK205" s="64" t="s">
        <v>1086</v>
      </c>
      <c r="BL205" s="35">
        <v>751</v>
      </c>
    </row>
    <row r="206" spans="1:64" x14ac:dyDescent="0.2">
      <c r="A206" s="19"/>
      <c r="C206" s="59" t="s">
        <v>521</v>
      </c>
      <c r="D206" s="180" t="s">
        <v>950</v>
      </c>
      <c r="E206" s="181"/>
      <c r="F206" s="181"/>
      <c r="G206" s="181"/>
      <c r="H206" s="181"/>
      <c r="I206" s="182"/>
      <c r="J206" s="181"/>
      <c r="K206" s="181"/>
      <c r="L206" s="181"/>
      <c r="M206" s="183"/>
      <c r="N206" s="19"/>
    </row>
    <row r="207" spans="1:64" x14ac:dyDescent="0.2">
      <c r="A207" s="49" t="s">
        <v>227</v>
      </c>
      <c r="B207" s="57" t="s">
        <v>63</v>
      </c>
      <c r="C207" s="57" t="s">
        <v>617</v>
      </c>
      <c r="D207" s="186" t="s">
        <v>951</v>
      </c>
      <c r="E207" s="187"/>
      <c r="F207" s="187"/>
      <c r="G207" s="57" t="s">
        <v>1004</v>
      </c>
      <c r="H207" s="65">
        <v>2</v>
      </c>
      <c r="I207" s="73">
        <v>1574</v>
      </c>
      <c r="J207" s="65">
        <f>H207*AO207</f>
        <v>3148</v>
      </c>
      <c r="K207" s="65">
        <f>H207*AP207</f>
        <v>0</v>
      </c>
      <c r="L207" s="65">
        <f>H207*I207</f>
        <v>3148</v>
      </c>
      <c r="M207" s="81"/>
      <c r="N207" s="19"/>
      <c r="Z207" s="35">
        <f>IF(AQ207="5",BJ207,0)</f>
        <v>0</v>
      </c>
      <c r="AB207" s="35">
        <f>IF(AQ207="1",BH207,0)</f>
        <v>0</v>
      </c>
      <c r="AC207" s="35">
        <f>IF(AQ207="1",BI207,0)</f>
        <v>0</v>
      </c>
      <c r="AD207" s="35">
        <f>IF(AQ207="7",BH207,0)</f>
        <v>3148</v>
      </c>
      <c r="AE207" s="35">
        <f>IF(AQ207="7",BI207,0)</f>
        <v>0</v>
      </c>
      <c r="AF207" s="35">
        <f>IF(AQ207="2",BH207,0)</f>
        <v>0</v>
      </c>
      <c r="AG207" s="35">
        <f>IF(AQ207="2",BI207,0)</f>
        <v>0</v>
      </c>
      <c r="AH207" s="35">
        <f>IF(AQ207="0",BJ207,0)</f>
        <v>0</v>
      </c>
      <c r="AI207" s="83" t="s">
        <v>63</v>
      </c>
      <c r="AJ207" s="65">
        <f>IF(AN207=0,L207,0)</f>
        <v>0</v>
      </c>
      <c r="AK207" s="65">
        <f>IF(AN207=15,L207,0)</f>
        <v>0</v>
      </c>
      <c r="AL207" s="65">
        <f>IF(AN207=21,L207,0)</f>
        <v>3148</v>
      </c>
      <c r="AN207" s="35">
        <v>21</v>
      </c>
      <c r="AO207" s="35">
        <f>I207*1</f>
        <v>1574</v>
      </c>
      <c r="AP207" s="35">
        <f>I207*(1-1)</f>
        <v>0</v>
      </c>
      <c r="AQ207" s="85" t="s">
        <v>144</v>
      </c>
      <c r="AV207" s="35">
        <f>AW207+AX207</f>
        <v>3148</v>
      </c>
      <c r="AW207" s="35">
        <f>H207*AO207</f>
        <v>3148</v>
      </c>
      <c r="AX207" s="35">
        <f>H207*AP207</f>
        <v>0</v>
      </c>
      <c r="AY207" s="86" t="s">
        <v>1046</v>
      </c>
      <c r="AZ207" s="86" t="s">
        <v>1058</v>
      </c>
      <c r="BA207" s="83" t="s">
        <v>1077</v>
      </c>
      <c r="BC207" s="35">
        <f>AW207+AX207</f>
        <v>3148</v>
      </c>
      <c r="BD207" s="35">
        <f>I207/(100-BE207)*100</f>
        <v>1574</v>
      </c>
      <c r="BE207" s="35">
        <v>0</v>
      </c>
      <c r="BF207" s="35">
        <f>207</f>
        <v>207</v>
      </c>
      <c r="BH207" s="65">
        <f>H207*AO207</f>
        <v>3148</v>
      </c>
      <c r="BI207" s="65">
        <f>H207*AP207</f>
        <v>0</v>
      </c>
      <c r="BJ207" s="65">
        <f>H207*I207</f>
        <v>3148</v>
      </c>
      <c r="BK207" s="65" t="s">
        <v>1001</v>
      </c>
      <c r="BL207" s="35">
        <v>751</v>
      </c>
    </row>
    <row r="208" spans="1:64" x14ac:dyDescent="0.2">
      <c r="A208" s="19"/>
      <c r="C208" s="59" t="s">
        <v>521</v>
      </c>
      <c r="D208" s="180" t="s">
        <v>951</v>
      </c>
      <c r="E208" s="181"/>
      <c r="F208" s="181"/>
      <c r="G208" s="181"/>
      <c r="H208" s="181"/>
      <c r="I208" s="182"/>
      <c r="J208" s="181"/>
      <c r="K208" s="181"/>
      <c r="L208" s="181"/>
      <c r="M208" s="183"/>
      <c r="N208" s="19"/>
    </row>
    <row r="209" spans="1:64" x14ac:dyDescent="0.2">
      <c r="A209" s="49" t="s">
        <v>228</v>
      </c>
      <c r="B209" s="57" t="s">
        <v>63</v>
      </c>
      <c r="C209" s="57" t="s">
        <v>618</v>
      </c>
      <c r="D209" s="186" t="s">
        <v>952</v>
      </c>
      <c r="E209" s="187"/>
      <c r="F209" s="187"/>
      <c r="G209" s="57" t="s">
        <v>1004</v>
      </c>
      <c r="H209" s="65">
        <v>2</v>
      </c>
      <c r="I209" s="73">
        <v>1648</v>
      </c>
      <c r="J209" s="65">
        <f>H209*AO209</f>
        <v>3296</v>
      </c>
      <c r="K209" s="65">
        <f>H209*AP209</f>
        <v>0</v>
      </c>
      <c r="L209" s="65">
        <f>H209*I209</f>
        <v>3296</v>
      </c>
      <c r="M209" s="81"/>
      <c r="N209" s="19"/>
      <c r="Z209" s="35">
        <f>IF(AQ209="5",BJ209,0)</f>
        <v>0</v>
      </c>
      <c r="AB209" s="35">
        <f>IF(AQ209="1",BH209,0)</f>
        <v>0</v>
      </c>
      <c r="AC209" s="35">
        <f>IF(AQ209="1",BI209,0)</f>
        <v>0</v>
      </c>
      <c r="AD209" s="35">
        <f>IF(AQ209="7",BH209,0)</f>
        <v>3296</v>
      </c>
      <c r="AE209" s="35">
        <f>IF(AQ209="7",BI209,0)</f>
        <v>0</v>
      </c>
      <c r="AF209" s="35">
        <f>IF(AQ209="2",BH209,0)</f>
        <v>0</v>
      </c>
      <c r="AG209" s="35">
        <f>IF(AQ209="2",BI209,0)</f>
        <v>0</v>
      </c>
      <c r="AH209" s="35">
        <f>IF(AQ209="0",BJ209,0)</f>
        <v>0</v>
      </c>
      <c r="AI209" s="83" t="s">
        <v>63</v>
      </c>
      <c r="AJ209" s="65">
        <f>IF(AN209=0,L209,0)</f>
        <v>0</v>
      </c>
      <c r="AK209" s="65">
        <f>IF(AN209=15,L209,0)</f>
        <v>0</v>
      </c>
      <c r="AL209" s="65">
        <f>IF(AN209=21,L209,0)</f>
        <v>3296</v>
      </c>
      <c r="AN209" s="35">
        <v>21</v>
      </c>
      <c r="AO209" s="35">
        <f>I209*1</f>
        <v>1648</v>
      </c>
      <c r="AP209" s="35">
        <f>I209*(1-1)</f>
        <v>0</v>
      </c>
      <c r="AQ209" s="85" t="s">
        <v>144</v>
      </c>
      <c r="AV209" s="35">
        <f>AW209+AX209</f>
        <v>3296</v>
      </c>
      <c r="AW209" s="35">
        <f>H209*AO209</f>
        <v>3296</v>
      </c>
      <c r="AX209" s="35">
        <f>H209*AP209</f>
        <v>0</v>
      </c>
      <c r="AY209" s="86" t="s">
        <v>1046</v>
      </c>
      <c r="AZ209" s="86" t="s">
        <v>1058</v>
      </c>
      <c r="BA209" s="83" t="s">
        <v>1077</v>
      </c>
      <c r="BC209" s="35">
        <f>AW209+AX209</f>
        <v>3296</v>
      </c>
      <c r="BD209" s="35">
        <f>I209/(100-BE209)*100</f>
        <v>1648</v>
      </c>
      <c r="BE209" s="35">
        <v>0</v>
      </c>
      <c r="BF209" s="35">
        <f>209</f>
        <v>209</v>
      </c>
      <c r="BH209" s="65">
        <f>H209*AO209</f>
        <v>3296</v>
      </c>
      <c r="BI209" s="65">
        <f>H209*AP209</f>
        <v>0</v>
      </c>
      <c r="BJ209" s="65">
        <f>H209*I209</f>
        <v>3296</v>
      </c>
      <c r="BK209" s="65" t="s">
        <v>1001</v>
      </c>
      <c r="BL209" s="35">
        <v>751</v>
      </c>
    </row>
    <row r="210" spans="1:64" x14ac:dyDescent="0.2">
      <c r="A210" s="19"/>
      <c r="C210" s="59" t="s">
        <v>521</v>
      </c>
      <c r="D210" s="180" t="s">
        <v>952</v>
      </c>
      <c r="E210" s="181"/>
      <c r="F210" s="181"/>
      <c r="G210" s="181"/>
      <c r="H210" s="181"/>
      <c r="I210" s="182"/>
      <c r="J210" s="181"/>
      <c r="K210" s="181"/>
      <c r="L210" s="181"/>
      <c r="M210" s="183"/>
      <c r="N210" s="19"/>
    </row>
    <row r="211" spans="1:64" x14ac:dyDescent="0.2">
      <c r="A211" s="49" t="s">
        <v>229</v>
      </c>
      <c r="B211" s="57" t="s">
        <v>63</v>
      </c>
      <c r="C211" s="57" t="s">
        <v>619</v>
      </c>
      <c r="D211" s="186" t="s">
        <v>953</v>
      </c>
      <c r="E211" s="187"/>
      <c r="F211" s="187"/>
      <c r="G211" s="57" t="s">
        <v>1007</v>
      </c>
      <c r="H211" s="65">
        <v>10</v>
      </c>
      <c r="I211" s="73">
        <v>285</v>
      </c>
      <c r="J211" s="65">
        <f>H211*AO211</f>
        <v>2850</v>
      </c>
      <c r="K211" s="65">
        <f>H211*AP211</f>
        <v>0</v>
      </c>
      <c r="L211" s="65">
        <f>H211*I211</f>
        <v>2850</v>
      </c>
      <c r="M211" s="81"/>
      <c r="N211" s="19"/>
      <c r="Z211" s="35">
        <f>IF(AQ211="5",BJ211,0)</f>
        <v>0</v>
      </c>
      <c r="AB211" s="35">
        <f>IF(AQ211="1",BH211,0)</f>
        <v>0</v>
      </c>
      <c r="AC211" s="35">
        <f>IF(AQ211="1",BI211,0)</f>
        <v>0</v>
      </c>
      <c r="AD211" s="35">
        <f>IF(AQ211="7",BH211,0)</f>
        <v>2850</v>
      </c>
      <c r="AE211" s="35">
        <f>IF(AQ211="7",BI211,0)</f>
        <v>0</v>
      </c>
      <c r="AF211" s="35">
        <f>IF(AQ211="2",BH211,0)</f>
        <v>0</v>
      </c>
      <c r="AG211" s="35">
        <f>IF(AQ211="2",BI211,0)</f>
        <v>0</v>
      </c>
      <c r="AH211" s="35">
        <f>IF(AQ211="0",BJ211,0)</f>
        <v>0</v>
      </c>
      <c r="AI211" s="83" t="s">
        <v>63</v>
      </c>
      <c r="AJ211" s="65">
        <f>IF(AN211=0,L211,0)</f>
        <v>0</v>
      </c>
      <c r="AK211" s="65">
        <f>IF(AN211=15,L211,0)</f>
        <v>0</v>
      </c>
      <c r="AL211" s="65">
        <f>IF(AN211=21,L211,0)</f>
        <v>2850</v>
      </c>
      <c r="AN211" s="35">
        <v>21</v>
      </c>
      <c r="AO211" s="35">
        <f>I211*1</f>
        <v>285</v>
      </c>
      <c r="AP211" s="35">
        <f>I211*(1-1)</f>
        <v>0</v>
      </c>
      <c r="AQ211" s="85" t="s">
        <v>144</v>
      </c>
      <c r="AV211" s="35">
        <f>AW211+AX211</f>
        <v>2850</v>
      </c>
      <c r="AW211" s="35">
        <f>H211*AO211</f>
        <v>2850</v>
      </c>
      <c r="AX211" s="35">
        <f>H211*AP211</f>
        <v>0</v>
      </c>
      <c r="AY211" s="86" t="s">
        <v>1046</v>
      </c>
      <c r="AZ211" s="86" t="s">
        <v>1058</v>
      </c>
      <c r="BA211" s="83" t="s">
        <v>1077</v>
      </c>
      <c r="BC211" s="35">
        <f>AW211+AX211</f>
        <v>2850</v>
      </c>
      <c r="BD211" s="35">
        <f>I211/(100-BE211)*100</f>
        <v>285</v>
      </c>
      <c r="BE211" s="35">
        <v>0</v>
      </c>
      <c r="BF211" s="35">
        <f>211</f>
        <v>211</v>
      </c>
      <c r="BH211" s="65">
        <f>H211*AO211</f>
        <v>2850</v>
      </c>
      <c r="BI211" s="65">
        <f>H211*AP211</f>
        <v>0</v>
      </c>
      <c r="BJ211" s="65">
        <f>H211*I211</f>
        <v>2850</v>
      </c>
      <c r="BK211" s="65" t="s">
        <v>1001</v>
      </c>
      <c r="BL211" s="35">
        <v>751</v>
      </c>
    </row>
    <row r="212" spans="1:64" x14ac:dyDescent="0.2">
      <c r="A212" s="19"/>
      <c r="C212" s="59" t="s">
        <v>521</v>
      </c>
      <c r="D212" s="180" t="s">
        <v>953</v>
      </c>
      <c r="E212" s="181"/>
      <c r="F212" s="181"/>
      <c r="G212" s="181"/>
      <c r="H212" s="181"/>
      <c r="I212" s="182"/>
      <c r="J212" s="181"/>
      <c r="K212" s="181"/>
      <c r="L212" s="181"/>
      <c r="M212" s="183"/>
      <c r="N212" s="19"/>
    </row>
    <row r="213" spans="1:64" x14ac:dyDescent="0.2">
      <c r="A213" s="47" t="s">
        <v>230</v>
      </c>
      <c r="B213" s="55" t="s">
        <v>63</v>
      </c>
      <c r="C213" s="55" t="s">
        <v>620</v>
      </c>
      <c r="D213" s="178" t="s">
        <v>954</v>
      </c>
      <c r="E213" s="179"/>
      <c r="F213" s="179"/>
      <c r="G213" s="55" t="s">
        <v>1003</v>
      </c>
      <c r="H213" s="64">
        <v>14</v>
      </c>
      <c r="I213" s="71">
        <v>294</v>
      </c>
      <c r="J213" s="64">
        <f>H213*AO213</f>
        <v>0</v>
      </c>
      <c r="K213" s="64">
        <f>H213*AP213</f>
        <v>4116</v>
      </c>
      <c r="L213" s="64">
        <f>H213*I213</f>
        <v>4116</v>
      </c>
      <c r="M213" s="79"/>
      <c r="N213" s="19"/>
      <c r="Z213" s="35">
        <f>IF(AQ213="5",BJ213,0)</f>
        <v>0</v>
      </c>
      <c r="AB213" s="35">
        <f>IF(AQ213="1",BH213,0)</f>
        <v>0</v>
      </c>
      <c r="AC213" s="35">
        <f>IF(AQ213="1",BI213,0)</f>
        <v>0</v>
      </c>
      <c r="AD213" s="35">
        <f>IF(AQ213="7",BH213,0)</f>
        <v>0</v>
      </c>
      <c r="AE213" s="35">
        <f>IF(AQ213="7",BI213,0)</f>
        <v>4116</v>
      </c>
      <c r="AF213" s="35">
        <f>IF(AQ213="2",BH213,0)</f>
        <v>0</v>
      </c>
      <c r="AG213" s="35">
        <f>IF(AQ213="2",BI213,0)</f>
        <v>0</v>
      </c>
      <c r="AH213" s="35">
        <f>IF(AQ213="0",BJ213,0)</f>
        <v>0</v>
      </c>
      <c r="AI213" s="83" t="s">
        <v>63</v>
      </c>
      <c r="AJ213" s="64">
        <f>IF(AN213=0,L213,0)</f>
        <v>0</v>
      </c>
      <c r="AK213" s="64">
        <f>IF(AN213=15,L213,0)</f>
        <v>0</v>
      </c>
      <c r="AL213" s="64">
        <f>IF(AN213=21,L213,0)</f>
        <v>4116</v>
      </c>
      <c r="AN213" s="35">
        <v>21</v>
      </c>
      <c r="AO213" s="35">
        <f>I213*0</f>
        <v>0</v>
      </c>
      <c r="AP213" s="35">
        <f>I213*(1-0)</f>
        <v>294</v>
      </c>
      <c r="AQ213" s="84" t="s">
        <v>144</v>
      </c>
      <c r="AV213" s="35">
        <f>AW213+AX213</f>
        <v>4116</v>
      </c>
      <c r="AW213" s="35">
        <f>H213*AO213</f>
        <v>0</v>
      </c>
      <c r="AX213" s="35">
        <f>H213*AP213</f>
        <v>4116</v>
      </c>
      <c r="AY213" s="86" t="s">
        <v>1046</v>
      </c>
      <c r="AZ213" s="86" t="s">
        <v>1058</v>
      </c>
      <c r="BA213" s="83" t="s">
        <v>1077</v>
      </c>
      <c r="BC213" s="35">
        <f>AW213+AX213</f>
        <v>4116</v>
      </c>
      <c r="BD213" s="35">
        <f>I213/(100-BE213)*100</f>
        <v>294</v>
      </c>
      <c r="BE213" s="35">
        <v>0</v>
      </c>
      <c r="BF213" s="35">
        <f>213</f>
        <v>213</v>
      </c>
      <c r="BH213" s="64">
        <f>H213*AO213</f>
        <v>0</v>
      </c>
      <c r="BI213" s="64">
        <f>H213*AP213</f>
        <v>4116</v>
      </c>
      <c r="BJ213" s="64">
        <f>H213*I213</f>
        <v>4116</v>
      </c>
      <c r="BK213" s="64" t="s">
        <v>1086</v>
      </c>
      <c r="BL213" s="35">
        <v>751</v>
      </c>
    </row>
    <row r="214" spans="1:64" x14ac:dyDescent="0.2">
      <c r="A214" s="19"/>
      <c r="C214" s="59" t="s">
        <v>521</v>
      </c>
      <c r="D214" s="180" t="s">
        <v>954</v>
      </c>
      <c r="E214" s="181"/>
      <c r="F214" s="181"/>
      <c r="G214" s="181"/>
      <c r="H214" s="181"/>
      <c r="I214" s="182"/>
      <c r="J214" s="181"/>
      <c r="K214" s="181"/>
      <c r="L214" s="181"/>
      <c r="M214" s="183"/>
      <c r="N214" s="19"/>
    </row>
    <row r="215" spans="1:64" x14ac:dyDescent="0.2">
      <c r="A215" s="49" t="s">
        <v>231</v>
      </c>
      <c r="B215" s="57" t="s">
        <v>63</v>
      </c>
      <c r="C215" s="57" t="s">
        <v>621</v>
      </c>
      <c r="D215" s="186" t="s">
        <v>955</v>
      </c>
      <c r="E215" s="187"/>
      <c r="F215" s="187"/>
      <c r="G215" s="57" t="s">
        <v>1004</v>
      </c>
      <c r="H215" s="65">
        <v>14</v>
      </c>
      <c r="I215" s="73">
        <v>851</v>
      </c>
      <c r="J215" s="65">
        <f>H215*AO215</f>
        <v>11914</v>
      </c>
      <c r="K215" s="65">
        <f>H215*AP215</f>
        <v>0</v>
      </c>
      <c r="L215" s="65">
        <f>H215*I215</f>
        <v>11914</v>
      </c>
      <c r="M215" s="81"/>
      <c r="N215" s="19"/>
      <c r="Z215" s="35">
        <f>IF(AQ215="5",BJ215,0)</f>
        <v>0</v>
      </c>
      <c r="AB215" s="35">
        <f>IF(AQ215="1",BH215,0)</f>
        <v>0</v>
      </c>
      <c r="AC215" s="35">
        <f>IF(AQ215="1",BI215,0)</f>
        <v>0</v>
      </c>
      <c r="AD215" s="35">
        <f>IF(AQ215="7",BH215,0)</f>
        <v>11914</v>
      </c>
      <c r="AE215" s="35">
        <f>IF(AQ215="7",BI215,0)</f>
        <v>0</v>
      </c>
      <c r="AF215" s="35">
        <f>IF(AQ215="2",BH215,0)</f>
        <v>0</v>
      </c>
      <c r="AG215" s="35">
        <f>IF(AQ215="2",BI215,0)</f>
        <v>0</v>
      </c>
      <c r="AH215" s="35">
        <f>IF(AQ215="0",BJ215,0)</f>
        <v>0</v>
      </c>
      <c r="AI215" s="83" t="s">
        <v>63</v>
      </c>
      <c r="AJ215" s="65">
        <f>IF(AN215=0,L215,0)</f>
        <v>0</v>
      </c>
      <c r="AK215" s="65">
        <f>IF(AN215=15,L215,0)</f>
        <v>0</v>
      </c>
      <c r="AL215" s="65">
        <f>IF(AN215=21,L215,0)</f>
        <v>11914</v>
      </c>
      <c r="AN215" s="35">
        <v>21</v>
      </c>
      <c r="AO215" s="35">
        <f>I215*1</f>
        <v>851</v>
      </c>
      <c r="AP215" s="35">
        <f>I215*(1-1)</f>
        <v>0</v>
      </c>
      <c r="AQ215" s="85" t="s">
        <v>144</v>
      </c>
      <c r="AV215" s="35">
        <f>AW215+AX215</f>
        <v>11914</v>
      </c>
      <c r="AW215" s="35">
        <f>H215*AO215</f>
        <v>11914</v>
      </c>
      <c r="AX215" s="35">
        <f>H215*AP215</f>
        <v>0</v>
      </c>
      <c r="AY215" s="86" t="s">
        <v>1046</v>
      </c>
      <c r="AZ215" s="86" t="s">
        <v>1058</v>
      </c>
      <c r="BA215" s="83" t="s">
        <v>1077</v>
      </c>
      <c r="BC215" s="35">
        <f>AW215+AX215</f>
        <v>11914</v>
      </c>
      <c r="BD215" s="35">
        <f>I215/(100-BE215)*100</f>
        <v>851</v>
      </c>
      <c r="BE215" s="35">
        <v>0</v>
      </c>
      <c r="BF215" s="35">
        <f>215</f>
        <v>215</v>
      </c>
      <c r="BH215" s="65">
        <f>H215*AO215</f>
        <v>11914</v>
      </c>
      <c r="BI215" s="65">
        <f>H215*AP215</f>
        <v>0</v>
      </c>
      <c r="BJ215" s="65">
        <f>H215*I215</f>
        <v>11914</v>
      </c>
      <c r="BK215" s="65" t="s">
        <v>1001</v>
      </c>
      <c r="BL215" s="35">
        <v>751</v>
      </c>
    </row>
    <row r="216" spans="1:64" x14ac:dyDescent="0.2">
      <c r="A216" s="19"/>
      <c r="C216" s="59" t="s">
        <v>521</v>
      </c>
      <c r="D216" s="180" t="s">
        <v>955</v>
      </c>
      <c r="E216" s="181"/>
      <c r="F216" s="181"/>
      <c r="G216" s="181"/>
      <c r="H216" s="181"/>
      <c r="I216" s="182"/>
      <c r="J216" s="181"/>
      <c r="K216" s="181"/>
      <c r="L216" s="181"/>
      <c r="M216" s="183"/>
      <c r="N216" s="19"/>
    </row>
    <row r="217" spans="1:64" x14ac:dyDescent="0.2">
      <c r="A217" s="47" t="s">
        <v>232</v>
      </c>
      <c r="B217" s="55" t="s">
        <v>63</v>
      </c>
      <c r="C217" s="55" t="s">
        <v>622</v>
      </c>
      <c r="D217" s="178" t="s">
        <v>956</v>
      </c>
      <c r="E217" s="179"/>
      <c r="F217" s="179"/>
      <c r="G217" s="55" t="s">
        <v>1003</v>
      </c>
      <c r="H217" s="64">
        <v>14</v>
      </c>
      <c r="I217" s="71">
        <v>135</v>
      </c>
      <c r="J217" s="64">
        <f>H217*AO217</f>
        <v>0</v>
      </c>
      <c r="K217" s="64">
        <f>H217*AP217</f>
        <v>1890</v>
      </c>
      <c r="L217" s="64">
        <f>H217*I217</f>
        <v>1890</v>
      </c>
      <c r="M217" s="79" t="s">
        <v>1020</v>
      </c>
      <c r="N217" s="19"/>
      <c r="Z217" s="35">
        <f>IF(AQ217="5",BJ217,0)</f>
        <v>0</v>
      </c>
      <c r="AB217" s="35">
        <f>IF(AQ217="1",BH217,0)</f>
        <v>0</v>
      </c>
      <c r="AC217" s="35">
        <f>IF(AQ217="1",BI217,0)</f>
        <v>0</v>
      </c>
      <c r="AD217" s="35">
        <f>IF(AQ217="7",BH217,0)</f>
        <v>0</v>
      </c>
      <c r="AE217" s="35">
        <f>IF(AQ217="7",BI217,0)</f>
        <v>1890</v>
      </c>
      <c r="AF217" s="35">
        <f>IF(AQ217="2",BH217,0)</f>
        <v>0</v>
      </c>
      <c r="AG217" s="35">
        <f>IF(AQ217="2",BI217,0)</f>
        <v>0</v>
      </c>
      <c r="AH217" s="35">
        <f>IF(AQ217="0",BJ217,0)</f>
        <v>0</v>
      </c>
      <c r="AI217" s="83" t="s">
        <v>63</v>
      </c>
      <c r="AJ217" s="64">
        <f>IF(AN217=0,L217,0)</f>
        <v>0</v>
      </c>
      <c r="AK217" s="64">
        <f>IF(AN217=15,L217,0)</f>
        <v>0</v>
      </c>
      <c r="AL217" s="64">
        <f>IF(AN217=21,L217,0)</f>
        <v>1890</v>
      </c>
      <c r="AN217" s="35">
        <v>21</v>
      </c>
      <c r="AO217" s="35">
        <f>I217*0</f>
        <v>0</v>
      </c>
      <c r="AP217" s="35">
        <f>I217*(1-0)</f>
        <v>135</v>
      </c>
      <c r="AQ217" s="84" t="s">
        <v>144</v>
      </c>
      <c r="AV217" s="35">
        <f>AW217+AX217</f>
        <v>1890</v>
      </c>
      <c r="AW217" s="35">
        <f>H217*AO217</f>
        <v>0</v>
      </c>
      <c r="AX217" s="35">
        <f>H217*AP217</f>
        <v>1890</v>
      </c>
      <c r="AY217" s="86" t="s">
        <v>1046</v>
      </c>
      <c r="AZ217" s="86" t="s">
        <v>1058</v>
      </c>
      <c r="BA217" s="83" t="s">
        <v>1077</v>
      </c>
      <c r="BC217" s="35">
        <f>AW217+AX217</f>
        <v>1890</v>
      </c>
      <c r="BD217" s="35">
        <f>I217/(100-BE217)*100</f>
        <v>135</v>
      </c>
      <c r="BE217" s="35">
        <v>0</v>
      </c>
      <c r="BF217" s="35">
        <f>217</f>
        <v>217</v>
      </c>
      <c r="BH217" s="64">
        <f>H217*AO217</f>
        <v>0</v>
      </c>
      <c r="BI217" s="64">
        <f>H217*AP217</f>
        <v>1890</v>
      </c>
      <c r="BJ217" s="64">
        <f>H217*I217</f>
        <v>1890</v>
      </c>
      <c r="BK217" s="64" t="s">
        <v>1086</v>
      </c>
      <c r="BL217" s="35">
        <v>751</v>
      </c>
    </row>
    <row r="218" spans="1:64" x14ac:dyDescent="0.2">
      <c r="A218" s="19"/>
      <c r="C218" s="59" t="s">
        <v>521</v>
      </c>
      <c r="D218" s="180" t="s">
        <v>956</v>
      </c>
      <c r="E218" s="181"/>
      <c r="F218" s="181"/>
      <c r="G218" s="181"/>
      <c r="H218" s="181"/>
      <c r="I218" s="182"/>
      <c r="J218" s="181"/>
      <c r="K218" s="181"/>
      <c r="L218" s="181"/>
      <c r="M218" s="183"/>
      <c r="N218" s="19"/>
    </row>
    <row r="219" spans="1:64" x14ac:dyDescent="0.2">
      <c r="A219" s="49" t="s">
        <v>233</v>
      </c>
      <c r="B219" s="57" t="s">
        <v>63</v>
      </c>
      <c r="C219" s="57" t="s">
        <v>623</v>
      </c>
      <c r="D219" s="186" t="s">
        <v>957</v>
      </c>
      <c r="E219" s="187"/>
      <c r="F219" s="187"/>
      <c r="G219" s="57" t="s">
        <v>1004</v>
      </c>
      <c r="H219" s="65">
        <v>14</v>
      </c>
      <c r="I219" s="73">
        <v>287</v>
      </c>
      <c r="J219" s="65">
        <f>H219*AO219</f>
        <v>4018</v>
      </c>
      <c r="K219" s="65">
        <f>H219*AP219</f>
        <v>0</v>
      </c>
      <c r="L219" s="65">
        <f>H219*I219</f>
        <v>4018</v>
      </c>
      <c r="M219" s="81"/>
      <c r="N219" s="19"/>
      <c r="Z219" s="35">
        <f>IF(AQ219="5",BJ219,0)</f>
        <v>0</v>
      </c>
      <c r="AB219" s="35">
        <f>IF(AQ219="1",BH219,0)</f>
        <v>0</v>
      </c>
      <c r="AC219" s="35">
        <f>IF(AQ219="1",BI219,0)</f>
        <v>0</v>
      </c>
      <c r="AD219" s="35">
        <f>IF(AQ219="7",BH219,0)</f>
        <v>4018</v>
      </c>
      <c r="AE219" s="35">
        <f>IF(AQ219="7",BI219,0)</f>
        <v>0</v>
      </c>
      <c r="AF219" s="35">
        <f>IF(AQ219="2",BH219,0)</f>
        <v>0</v>
      </c>
      <c r="AG219" s="35">
        <f>IF(AQ219="2",BI219,0)</f>
        <v>0</v>
      </c>
      <c r="AH219" s="35">
        <f>IF(AQ219="0",BJ219,0)</f>
        <v>0</v>
      </c>
      <c r="AI219" s="83" t="s">
        <v>63</v>
      </c>
      <c r="AJ219" s="65">
        <f>IF(AN219=0,L219,0)</f>
        <v>0</v>
      </c>
      <c r="AK219" s="65">
        <f>IF(AN219=15,L219,0)</f>
        <v>0</v>
      </c>
      <c r="AL219" s="65">
        <f>IF(AN219=21,L219,0)</f>
        <v>4018</v>
      </c>
      <c r="AN219" s="35">
        <v>21</v>
      </c>
      <c r="AO219" s="35">
        <f>I219*1</f>
        <v>287</v>
      </c>
      <c r="AP219" s="35">
        <f>I219*(1-1)</f>
        <v>0</v>
      </c>
      <c r="AQ219" s="85" t="s">
        <v>144</v>
      </c>
      <c r="AV219" s="35">
        <f>AW219+AX219</f>
        <v>4018</v>
      </c>
      <c r="AW219" s="35">
        <f>H219*AO219</f>
        <v>4018</v>
      </c>
      <c r="AX219" s="35">
        <f>H219*AP219</f>
        <v>0</v>
      </c>
      <c r="AY219" s="86" t="s">
        <v>1046</v>
      </c>
      <c r="AZ219" s="86" t="s">
        <v>1058</v>
      </c>
      <c r="BA219" s="83" t="s">
        <v>1077</v>
      </c>
      <c r="BC219" s="35">
        <f>AW219+AX219</f>
        <v>4018</v>
      </c>
      <c r="BD219" s="35">
        <f>I219/(100-BE219)*100</f>
        <v>287</v>
      </c>
      <c r="BE219" s="35">
        <v>0</v>
      </c>
      <c r="BF219" s="35">
        <f>219</f>
        <v>219</v>
      </c>
      <c r="BH219" s="65">
        <f>H219*AO219</f>
        <v>4018</v>
      </c>
      <c r="BI219" s="65">
        <f>H219*AP219</f>
        <v>0</v>
      </c>
      <c r="BJ219" s="65">
        <f>H219*I219</f>
        <v>4018</v>
      </c>
      <c r="BK219" s="65" t="s">
        <v>1001</v>
      </c>
      <c r="BL219" s="35">
        <v>751</v>
      </c>
    </row>
    <row r="220" spans="1:64" x14ac:dyDescent="0.2">
      <c r="A220" s="19"/>
      <c r="C220" s="59" t="s">
        <v>521</v>
      </c>
      <c r="D220" s="180" t="s">
        <v>957</v>
      </c>
      <c r="E220" s="181"/>
      <c r="F220" s="181"/>
      <c r="G220" s="181"/>
      <c r="H220" s="181"/>
      <c r="I220" s="182"/>
      <c r="J220" s="181"/>
      <c r="K220" s="181"/>
      <c r="L220" s="181"/>
      <c r="M220" s="183"/>
      <c r="N220" s="19"/>
    </row>
    <row r="221" spans="1:64" x14ac:dyDescent="0.2">
      <c r="A221" s="47" t="s">
        <v>234</v>
      </c>
      <c r="B221" s="55" t="s">
        <v>63</v>
      </c>
      <c r="C221" s="55" t="s">
        <v>624</v>
      </c>
      <c r="D221" s="178" t="s">
        <v>958</v>
      </c>
      <c r="E221" s="179"/>
      <c r="F221" s="179"/>
      <c r="G221" s="55" t="s">
        <v>1000</v>
      </c>
      <c r="H221" s="64">
        <v>3584.0039999999999</v>
      </c>
      <c r="I221" s="71">
        <v>0.5</v>
      </c>
      <c r="J221" s="64">
        <f>H221*AO221</f>
        <v>0</v>
      </c>
      <c r="K221" s="64">
        <f>H221*AP221</f>
        <v>1792.002</v>
      </c>
      <c r="L221" s="64">
        <f>H221*I221</f>
        <v>1792.002</v>
      </c>
      <c r="M221" s="79" t="s">
        <v>1021</v>
      </c>
      <c r="N221" s="19"/>
      <c r="Z221" s="35">
        <f>IF(AQ221="5",BJ221,0)</f>
        <v>0</v>
      </c>
      <c r="AB221" s="35">
        <f>IF(AQ221="1",BH221,0)</f>
        <v>0</v>
      </c>
      <c r="AC221" s="35">
        <f>IF(AQ221="1",BI221,0)</f>
        <v>0</v>
      </c>
      <c r="AD221" s="35">
        <f>IF(AQ221="7",BH221,0)</f>
        <v>0</v>
      </c>
      <c r="AE221" s="35">
        <f>IF(AQ221="7",BI221,0)</f>
        <v>1792.002</v>
      </c>
      <c r="AF221" s="35">
        <f>IF(AQ221="2",BH221,0)</f>
        <v>0</v>
      </c>
      <c r="AG221" s="35">
        <f>IF(AQ221="2",BI221,0)</f>
        <v>0</v>
      </c>
      <c r="AH221" s="35">
        <f>IF(AQ221="0",BJ221,0)</f>
        <v>0</v>
      </c>
      <c r="AI221" s="83" t="s">
        <v>63</v>
      </c>
      <c r="AJ221" s="64">
        <f>IF(AN221=0,L221,0)</f>
        <v>0</v>
      </c>
      <c r="AK221" s="64">
        <f>IF(AN221=15,L221,0)</f>
        <v>0</v>
      </c>
      <c r="AL221" s="64">
        <f>IF(AN221=21,L221,0)</f>
        <v>1792.002</v>
      </c>
      <c r="AN221" s="35">
        <v>21</v>
      </c>
      <c r="AO221" s="35">
        <f>I221*0</f>
        <v>0</v>
      </c>
      <c r="AP221" s="35">
        <f>I221*(1-0)</f>
        <v>0.5</v>
      </c>
      <c r="AQ221" s="84" t="s">
        <v>144</v>
      </c>
      <c r="AV221" s="35">
        <f>AW221+AX221</f>
        <v>1792.002</v>
      </c>
      <c r="AW221" s="35">
        <f>H221*AO221</f>
        <v>0</v>
      </c>
      <c r="AX221" s="35">
        <f>H221*AP221</f>
        <v>1792.002</v>
      </c>
      <c r="AY221" s="86" t="s">
        <v>1046</v>
      </c>
      <c r="AZ221" s="86" t="s">
        <v>1058</v>
      </c>
      <c r="BA221" s="83" t="s">
        <v>1077</v>
      </c>
      <c r="BC221" s="35">
        <f>AW221+AX221</f>
        <v>1792.002</v>
      </c>
      <c r="BD221" s="35">
        <f>I221/(100-BE221)*100</f>
        <v>0.5</v>
      </c>
      <c r="BE221" s="35">
        <v>0</v>
      </c>
      <c r="BF221" s="35">
        <f>221</f>
        <v>221</v>
      </c>
      <c r="BH221" s="64">
        <f>H221*AO221</f>
        <v>0</v>
      </c>
      <c r="BI221" s="64">
        <f>H221*AP221</f>
        <v>1792.002</v>
      </c>
      <c r="BJ221" s="64">
        <f>H221*I221</f>
        <v>1792.002</v>
      </c>
      <c r="BK221" s="64" t="s">
        <v>1086</v>
      </c>
      <c r="BL221" s="35">
        <v>751</v>
      </c>
    </row>
    <row r="222" spans="1:64" x14ac:dyDescent="0.2">
      <c r="A222" s="19"/>
      <c r="C222" s="59" t="s">
        <v>521</v>
      </c>
      <c r="D222" s="180" t="s">
        <v>959</v>
      </c>
      <c r="E222" s="181"/>
      <c r="F222" s="181"/>
      <c r="G222" s="181"/>
      <c r="H222" s="181"/>
      <c r="I222" s="182"/>
      <c r="J222" s="181"/>
      <c r="K222" s="181"/>
      <c r="L222" s="181"/>
      <c r="M222" s="183"/>
      <c r="N222" s="19"/>
    </row>
    <row r="223" spans="1:64" x14ac:dyDescent="0.2">
      <c r="A223" s="46"/>
      <c r="B223" s="54" t="s">
        <v>63</v>
      </c>
      <c r="C223" s="54" t="s">
        <v>118</v>
      </c>
      <c r="D223" s="176" t="s">
        <v>43</v>
      </c>
      <c r="E223" s="177"/>
      <c r="F223" s="177"/>
      <c r="G223" s="61" t="s">
        <v>60</v>
      </c>
      <c r="H223" s="61" t="s">
        <v>60</v>
      </c>
      <c r="I223" s="70" t="s">
        <v>60</v>
      </c>
      <c r="J223" s="89">
        <f>SUM(J224:J236)</f>
        <v>0</v>
      </c>
      <c r="K223" s="89">
        <f>SUM(K224:K236)</f>
        <v>26250</v>
      </c>
      <c r="L223" s="89">
        <f>SUM(L224:L236)</f>
        <v>26250</v>
      </c>
      <c r="M223" s="78"/>
      <c r="N223" s="19"/>
      <c r="AI223" s="83" t="s">
        <v>63</v>
      </c>
      <c r="AS223" s="89">
        <f>SUM(AJ224:AJ236)</f>
        <v>0</v>
      </c>
      <c r="AT223" s="89">
        <f>SUM(AK224:AK236)</f>
        <v>0</v>
      </c>
      <c r="AU223" s="89">
        <f>SUM(AL224:AL236)</f>
        <v>26250</v>
      </c>
    </row>
    <row r="224" spans="1:64" x14ac:dyDescent="0.2">
      <c r="A224" s="47" t="s">
        <v>235</v>
      </c>
      <c r="B224" s="55" t="s">
        <v>63</v>
      </c>
      <c r="C224" s="55" t="s">
        <v>625</v>
      </c>
      <c r="D224" s="178" t="s">
        <v>960</v>
      </c>
      <c r="E224" s="179"/>
      <c r="F224" s="179"/>
      <c r="G224" s="55" t="s">
        <v>1002</v>
      </c>
      <c r="H224" s="64">
        <v>1</v>
      </c>
      <c r="I224" s="71">
        <v>2000</v>
      </c>
      <c r="J224" s="64">
        <f>H224*AO224</f>
        <v>0</v>
      </c>
      <c r="K224" s="64">
        <f>H224*AP224</f>
        <v>2000</v>
      </c>
      <c r="L224" s="64">
        <f>H224*I224</f>
        <v>2000</v>
      </c>
      <c r="M224" s="79"/>
      <c r="N224" s="19"/>
      <c r="Z224" s="35">
        <f>IF(AQ224="5",BJ224,0)</f>
        <v>0</v>
      </c>
      <c r="AB224" s="35">
        <f>IF(AQ224="1",BH224,0)</f>
        <v>0</v>
      </c>
      <c r="AC224" s="35">
        <f>IF(AQ224="1",BI224,0)</f>
        <v>2000</v>
      </c>
      <c r="AD224" s="35">
        <f>IF(AQ224="7",BH224,0)</f>
        <v>0</v>
      </c>
      <c r="AE224" s="35">
        <f>IF(AQ224="7",BI224,0)</f>
        <v>0</v>
      </c>
      <c r="AF224" s="35">
        <f>IF(AQ224="2",BH224,0)</f>
        <v>0</v>
      </c>
      <c r="AG224" s="35">
        <f>IF(AQ224="2",BI224,0)</f>
        <v>0</v>
      </c>
      <c r="AH224" s="35">
        <f>IF(AQ224="0",BJ224,0)</f>
        <v>0</v>
      </c>
      <c r="AI224" s="83" t="s">
        <v>63</v>
      </c>
      <c r="AJ224" s="64">
        <f>IF(AN224=0,L224,0)</f>
        <v>0</v>
      </c>
      <c r="AK224" s="64">
        <f>IF(AN224=15,L224,0)</f>
        <v>0</v>
      </c>
      <c r="AL224" s="64">
        <f>IF(AN224=21,L224,0)</f>
        <v>2000</v>
      </c>
      <c r="AN224" s="35">
        <v>21</v>
      </c>
      <c r="AO224" s="35">
        <f>I224*0</f>
        <v>0</v>
      </c>
      <c r="AP224" s="35">
        <f>I224*(1-0)</f>
        <v>2000</v>
      </c>
      <c r="AQ224" s="84" t="s">
        <v>141</v>
      </c>
      <c r="AV224" s="35">
        <f>AW224+AX224</f>
        <v>2000</v>
      </c>
      <c r="AW224" s="35">
        <f>H224*AO224</f>
        <v>0</v>
      </c>
      <c r="AX224" s="35">
        <f>H224*AP224</f>
        <v>2000</v>
      </c>
      <c r="AY224" s="86" t="s">
        <v>1047</v>
      </c>
      <c r="AZ224" s="86" t="s">
        <v>1059</v>
      </c>
      <c r="BA224" s="83" t="s">
        <v>1077</v>
      </c>
      <c r="BC224" s="35">
        <f>AW224+AX224</f>
        <v>2000</v>
      </c>
      <c r="BD224" s="35">
        <f>I224/(100-BE224)*100</f>
        <v>2000</v>
      </c>
      <c r="BE224" s="35">
        <v>0</v>
      </c>
      <c r="BF224" s="35">
        <f>224</f>
        <v>224</v>
      </c>
      <c r="BH224" s="64">
        <f>H224*AO224</f>
        <v>0</v>
      </c>
      <c r="BI224" s="64">
        <f>H224*AP224</f>
        <v>2000</v>
      </c>
      <c r="BJ224" s="64">
        <f>H224*I224</f>
        <v>2000</v>
      </c>
      <c r="BK224" s="64" t="s">
        <v>1086</v>
      </c>
      <c r="BL224" s="35" t="s">
        <v>118</v>
      </c>
    </row>
    <row r="225" spans="1:64" x14ac:dyDescent="0.2">
      <c r="A225" s="19"/>
      <c r="C225" s="59" t="s">
        <v>521</v>
      </c>
      <c r="D225" s="180" t="s">
        <v>961</v>
      </c>
      <c r="E225" s="181"/>
      <c r="F225" s="181"/>
      <c r="G225" s="181"/>
      <c r="H225" s="181"/>
      <c r="I225" s="182"/>
      <c r="J225" s="181"/>
      <c r="K225" s="181"/>
      <c r="L225" s="181"/>
      <c r="M225" s="183"/>
      <c r="N225" s="19"/>
    </row>
    <row r="226" spans="1:64" x14ac:dyDescent="0.2">
      <c r="A226" s="47" t="s">
        <v>236</v>
      </c>
      <c r="B226" s="55" t="s">
        <v>63</v>
      </c>
      <c r="C226" s="55" t="s">
        <v>626</v>
      </c>
      <c r="D226" s="178" t="s">
        <v>962</v>
      </c>
      <c r="E226" s="179"/>
      <c r="F226" s="179"/>
      <c r="G226" s="55" t="s">
        <v>1006</v>
      </c>
      <c r="H226" s="64">
        <v>1</v>
      </c>
      <c r="I226" s="71">
        <v>2800</v>
      </c>
      <c r="J226" s="64">
        <f>H226*AO226</f>
        <v>0</v>
      </c>
      <c r="K226" s="64">
        <f>H226*AP226</f>
        <v>2800</v>
      </c>
      <c r="L226" s="64">
        <f>H226*I226</f>
        <v>2800</v>
      </c>
      <c r="M226" s="79"/>
      <c r="N226" s="19"/>
      <c r="Z226" s="35">
        <f>IF(AQ226="5",BJ226,0)</f>
        <v>0</v>
      </c>
      <c r="AB226" s="35">
        <f>IF(AQ226="1",BH226,0)</f>
        <v>0</v>
      </c>
      <c r="AC226" s="35">
        <f>IF(AQ226="1",BI226,0)</f>
        <v>2800</v>
      </c>
      <c r="AD226" s="35">
        <f>IF(AQ226="7",BH226,0)</f>
        <v>0</v>
      </c>
      <c r="AE226" s="35">
        <f>IF(AQ226="7",BI226,0)</f>
        <v>0</v>
      </c>
      <c r="AF226" s="35">
        <f>IF(AQ226="2",BH226,0)</f>
        <v>0</v>
      </c>
      <c r="AG226" s="35">
        <f>IF(AQ226="2",BI226,0)</f>
        <v>0</v>
      </c>
      <c r="AH226" s="35">
        <f>IF(AQ226="0",BJ226,0)</f>
        <v>0</v>
      </c>
      <c r="AI226" s="83" t="s">
        <v>63</v>
      </c>
      <c r="AJ226" s="64">
        <f>IF(AN226=0,L226,0)</f>
        <v>0</v>
      </c>
      <c r="AK226" s="64">
        <f>IF(AN226=15,L226,0)</f>
        <v>0</v>
      </c>
      <c r="AL226" s="64">
        <f>IF(AN226=21,L226,0)</f>
        <v>2800</v>
      </c>
      <c r="AN226" s="35">
        <v>21</v>
      </c>
      <c r="AO226" s="35">
        <f>I226*0</f>
        <v>0</v>
      </c>
      <c r="AP226" s="35">
        <f>I226*(1-0)</f>
        <v>2800</v>
      </c>
      <c r="AQ226" s="84" t="s">
        <v>141</v>
      </c>
      <c r="AV226" s="35">
        <f>AW226+AX226</f>
        <v>2800</v>
      </c>
      <c r="AW226" s="35">
        <f>H226*AO226</f>
        <v>0</v>
      </c>
      <c r="AX226" s="35">
        <f>H226*AP226</f>
        <v>2800</v>
      </c>
      <c r="AY226" s="86" t="s">
        <v>1047</v>
      </c>
      <c r="AZ226" s="86" t="s">
        <v>1059</v>
      </c>
      <c r="BA226" s="83" t="s">
        <v>1077</v>
      </c>
      <c r="BC226" s="35">
        <f>AW226+AX226</f>
        <v>2800</v>
      </c>
      <c r="BD226" s="35">
        <f>I226/(100-BE226)*100</f>
        <v>2800</v>
      </c>
      <c r="BE226" s="35">
        <v>0</v>
      </c>
      <c r="BF226" s="35">
        <f>226</f>
        <v>226</v>
      </c>
      <c r="BH226" s="64">
        <f>H226*AO226</f>
        <v>0</v>
      </c>
      <c r="BI226" s="64">
        <f>H226*AP226</f>
        <v>2800</v>
      </c>
      <c r="BJ226" s="64">
        <f>H226*I226</f>
        <v>2800</v>
      </c>
      <c r="BK226" s="64" t="s">
        <v>1086</v>
      </c>
      <c r="BL226" s="35" t="s">
        <v>118</v>
      </c>
    </row>
    <row r="227" spans="1:64" x14ac:dyDescent="0.2">
      <c r="A227" s="19"/>
      <c r="C227" s="59" t="s">
        <v>521</v>
      </c>
      <c r="D227" s="180" t="s">
        <v>962</v>
      </c>
      <c r="E227" s="181"/>
      <c r="F227" s="181"/>
      <c r="G227" s="181"/>
      <c r="H227" s="181"/>
      <c r="I227" s="182"/>
      <c r="J227" s="181"/>
      <c r="K227" s="181"/>
      <c r="L227" s="181"/>
      <c r="M227" s="183"/>
      <c r="N227" s="19"/>
    </row>
    <row r="228" spans="1:64" x14ac:dyDescent="0.2">
      <c r="A228" s="47" t="s">
        <v>237</v>
      </c>
      <c r="B228" s="55" t="s">
        <v>63</v>
      </c>
      <c r="C228" s="55" t="s">
        <v>627</v>
      </c>
      <c r="D228" s="178" t="s">
        <v>962</v>
      </c>
      <c r="E228" s="179"/>
      <c r="F228" s="179"/>
      <c r="G228" s="55" t="s">
        <v>1006</v>
      </c>
      <c r="H228" s="64">
        <v>1</v>
      </c>
      <c r="I228" s="71">
        <v>2800</v>
      </c>
      <c r="J228" s="64">
        <f>H228*AO228</f>
        <v>0</v>
      </c>
      <c r="K228" s="64">
        <f>H228*AP228</f>
        <v>2800</v>
      </c>
      <c r="L228" s="64">
        <f>H228*I228</f>
        <v>2800</v>
      </c>
      <c r="M228" s="79"/>
      <c r="N228" s="19"/>
      <c r="Z228" s="35">
        <f>IF(AQ228="5",BJ228,0)</f>
        <v>0</v>
      </c>
      <c r="AB228" s="35">
        <f>IF(AQ228="1",BH228,0)</f>
        <v>0</v>
      </c>
      <c r="AC228" s="35">
        <f>IF(AQ228="1",BI228,0)</f>
        <v>2800</v>
      </c>
      <c r="AD228" s="35">
        <f>IF(AQ228="7",BH228,0)</f>
        <v>0</v>
      </c>
      <c r="AE228" s="35">
        <f>IF(AQ228="7",BI228,0)</f>
        <v>0</v>
      </c>
      <c r="AF228" s="35">
        <f>IF(AQ228="2",BH228,0)</f>
        <v>0</v>
      </c>
      <c r="AG228" s="35">
        <f>IF(AQ228="2",BI228,0)</f>
        <v>0</v>
      </c>
      <c r="AH228" s="35">
        <f>IF(AQ228="0",BJ228,0)</f>
        <v>0</v>
      </c>
      <c r="AI228" s="83" t="s">
        <v>63</v>
      </c>
      <c r="AJ228" s="64">
        <f>IF(AN228=0,L228,0)</f>
        <v>0</v>
      </c>
      <c r="AK228" s="64">
        <f>IF(AN228=15,L228,0)</f>
        <v>0</v>
      </c>
      <c r="AL228" s="64">
        <f>IF(AN228=21,L228,0)</f>
        <v>2800</v>
      </c>
      <c r="AN228" s="35">
        <v>21</v>
      </c>
      <c r="AO228" s="35">
        <f>I228*0</f>
        <v>0</v>
      </c>
      <c r="AP228" s="35">
        <f>I228*(1-0)</f>
        <v>2800</v>
      </c>
      <c r="AQ228" s="84" t="s">
        <v>141</v>
      </c>
      <c r="AV228" s="35">
        <f>AW228+AX228</f>
        <v>2800</v>
      </c>
      <c r="AW228" s="35">
        <f>H228*AO228</f>
        <v>0</v>
      </c>
      <c r="AX228" s="35">
        <f>H228*AP228</f>
        <v>2800</v>
      </c>
      <c r="AY228" s="86" t="s">
        <v>1047</v>
      </c>
      <c r="AZ228" s="86" t="s">
        <v>1059</v>
      </c>
      <c r="BA228" s="83" t="s">
        <v>1077</v>
      </c>
      <c r="BC228" s="35">
        <f>AW228+AX228</f>
        <v>2800</v>
      </c>
      <c r="BD228" s="35">
        <f>I228/(100-BE228)*100</f>
        <v>2800</v>
      </c>
      <c r="BE228" s="35">
        <v>0</v>
      </c>
      <c r="BF228" s="35">
        <f>228</f>
        <v>228</v>
      </c>
      <c r="BH228" s="64">
        <f>H228*AO228</f>
        <v>0</v>
      </c>
      <c r="BI228" s="64">
        <f>H228*AP228</f>
        <v>2800</v>
      </c>
      <c r="BJ228" s="64">
        <f>H228*I228</f>
        <v>2800</v>
      </c>
      <c r="BK228" s="64" t="s">
        <v>1086</v>
      </c>
      <c r="BL228" s="35" t="s">
        <v>118</v>
      </c>
    </row>
    <row r="229" spans="1:64" x14ac:dyDescent="0.2">
      <c r="A229" s="19"/>
      <c r="C229" s="59" t="s">
        <v>521</v>
      </c>
      <c r="D229" s="180" t="s">
        <v>962</v>
      </c>
      <c r="E229" s="181"/>
      <c r="F229" s="181"/>
      <c r="G229" s="181"/>
      <c r="H229" s="181"/>
      <c r="I229" s="182"/>
      <c r="J229" s="181"/>
      <c r="K229" s="181"/>
      <c r="L229" s="181"/>
      <c r="M229" s="183"/>
      <c r="N229" s="19"/>
    </row>
    <row r="230" spans="1:64" x14ac:dyDescent="0.2">
      <c r="A230" s="47" t="s">
        <v>238</v>
      </c>
      <c r="B230" s="55" t="s">
        <v>63</v>
      </c>
      <c r="C230" s="55" t="s">
        <v>628</v>
      </c>
      <c r="D230" s="178" t="s">
        <v>963</v>
      </c>
      <c r="E230" s="179"/>
      <c r="F230" s="179"/>
      <c r="G230" s="55" t="s">
        <v>1006</v>
      </c>
      <c r="H230" s="64">
        <v>1</v>
      </c>
      <c r="I230" s="71">
        <v>2800</v>
      </c>
      <c r="J230" s="64">
        <f>H230*AO230</f>
        <v>0</v>
      </c>
      <c r="K230" s="64">
        <f>H230*AP230</f>
        <v>2800</v>
      </c>
      <c r="L230" s="64">
        <f>H230*I230</f>
        <v>2800</v>
      </c>
      <c r="M230" s="79"/>
      <c r="N230" s="19"/>
      <c r="Z230" s="35">
        <f>IF(AQ230="5",BJ230,0)</f>
        <v>0</v>
      </c>
      <c r="AB230" s="35">
        <f>IF(AQ230="1",BH230,0)</f>
        <v>0</v>
      </c>
      <c r="AC230" s="35">
        <f>IF(AQ230="1",BI230,0)</f>
        <v>2800</v>
      </c>
      <c r="AD230" s="35">
        <f>IF(AQ230="7",BH230,0)</f>
        <v>0</v>
      </c>
      <c r="AE230" s="35">
        <f>IF(AQ230="7",BI230,0)</f>
        <v>0</v>
      </c>
      <c r="AF230" s="35">
        <f>IF(AQ230="2",BH230,0)</f>
        <v>0</v>
      </c>
      <c r="AG230" s="35">
        <f>IF(AQ230="2",BI230,0)</f>
        <v>0</v>
      </c>
      <c r="AH230" s="35">
        <f>IF(AQ230="0",BJ230,0)</f>
        <v>0</v>
      </c>
      <c r="AI230" s="83" t="s">
        <v>63</v>
      </c>
      <c r="AJ230" s="64">
        <f>IF(AN230=0,L230,0)</f>
        <v>0</v>
      </c>
      <c r="AK230" s="64">
        <f>IF(AN230=15,L230,0)</f>
        <v>0</v>
      </c>
      <c r="AL230" s="64">
        <f>IF(AN230=21,L230,0)</f>
        <v>2800</v>
      </c>
      <c r="AN230" s="35">
        <v>21</v>
      </c>
      <c r="AO230" s="35">
        <f>I230*0</f>
        <v>0</v>
      </c>
      <c r="AP230" s="35">
        <f>I230*(1-0)</f>
        <v>2800</v>
      </c>
      <c r="AQ230" s="84" t="s">
        <v>141</v>
      </c>
      <c r="AV230" s="35">
        <f>AW230+AX230</f>
        <v>2800</v>
      </c>
      <c r="AW230" s="35">
        <f>H230*AO230</f>
        <v>0</v>
      </c>
      <c r="AX230" s="35">
        <f>H230*AP230</f>
        <v>2800</v>
      </c>
      <c r="AY230" s="86" t="s">
        <v>1047</v>
      </c>
      <c r="AZ230" s="86" t="s">
        <v>1059</v>
      </c>
      <c r="BA230" s="83" t="s">
        <v>1077</v>
      </c>
      <c r="BC230" s="35">
        <f>AW230+AX230</f>
        <v>2800</v>
      </c>
      <c r="BD230" s="35">
        <f>I230/(100-BE230)*100</f>
        <v>2800</v>
      </c>
      <c r="BE230" s="35">
        <v>0</v>
      </c>
      <c r="BF230" s="35">
        <f>230</f>
        <v>230</v>
      </c>
      <c r="BH230" s="64">
        <f>H230*AO230</f>
        <v>0</v>
      </c>
      <c r="BI230" s="64">
        <f>H230*AP230</f>
        <v>2800</v>
      </c>
      <c r="BJ230" s="64">
        <f>H230*I230</f>
        <v>2800</v>
      </c>
      <c r="BK230" s="64" t="s">
        <v>1086</v>
      </c>
      <c r="BL230" s="35" t="s">
        <v>118</v>
      </c>
    </row>
    <row r="231" spans="1:64" x14ac:dyDescent="0.2">
      <c r="A231" s="19"/>
      <c r="C231" s="59" t="s">
        <v>521</v>
      </c>
      <c r="D231" s="180" t="s">
        <v>963</v>
      </c>
      <c r="E231" s="181"/>
      <c r="F231" s="181"/>
      <c r="G231" s="181"/>
      <c r="H231" s="181"/>
      <c r="I231" s="182"/>
      <c r="J231" s="181"/>
      <c r="K231" s="181"/>
      <c r="L231" s="181"/>
      <c r="M231" s="183"/>
      <c r="N231" s="19"/>
    </row>
    <row r="232" spans="1:64" x14ac:dyDescent="0.2">
      <c r="A232" s="47" t="s">
        <v>239</v>
      </c>
      <c r="B232" s="55" t="s">
        <v>63</v>
      </c>
      <c r="C232" s="55" t="s">
        <v>629</v>
      </c>
      <c r="D232" s="178" t="s">
        <v>964</v>
      </c>
      <c r="E232" s="179"/>
      <c r="F232" s="179"/>
      <c r="G232" s="55" t="s">
        <v>1002</v>
      </c>
      <c r="H232" s="64">
        <v>1</v>
      </c>
      <c r="I232" s="71">
        <v>2450</v>
      </c>
      <c r="J232" s="64">
        <f>H232*AO232</f>
        <v>0</v>
      </c>
      <c r="K232" s="64">
        <f>H232*AP232</f>
        <v>2450</v>
      </c>
      <c r="L232" s="64">
        <f>H232*I232</f>
        <v>2450</v>
      </c>
      <c r="M232" s="79"/>
      <c r="N232" s="19"/>
      <c r="Z232" s="35">
        <f>IF(AQ232="5",BJ232,0)</f>
        <v>0</v>
      </c>
      <c r="AB232" s="35">
        <f>IF(AQ232="1",BH232,0)</f>
        <v>0</v>
      </c>
      <c r="AC232" s="35">
        <f>IF(AQ232="1",BI232,0)</f>
        <v>2450</v>
      </c>
      <c r="AD232" s="35">
        <f>IF(AQ232="7",BH232,0)</f>
        <v>0</v>
      </c>
      <c r="AE232" s="35">
        <f>IF(AQ232="7",BI232,0)</f>
        <v>0</v>
      </c>
      <c r="AF232" s="35">
        <f>IF(AQ232="2",BH232,0)</f>
        <v>0</v>
      </c>
      <c r="AG232" s="35">
        <f>IF(AQ232="2",BI232,0)</f>
        <v>0</v>
      </c>
      <c r="AH232" s="35">
        <f>IF(AQ232="0",BJ232,0)</f>
        <v>0</v>
      </c>
      <c r="AI232" s="83" t="s">
        <v>63</v>
      </c>
      <c r="AJ232" s="64">
        <f>IF(AN232=0,L232,0)</f>
        <v>0</v>
      </c>
      <c r="AK232" s="64">
        <f>IF(AN232=15,L232,0)</f>
        <v>0</v>
      </c>
      <c r="AL232" s="64">
        <f>IF(AN232=21,L232,0)</f>
        <v>2450</v>
      </c>
      <c r="AN232" s="35">
        <v>21</v>
      </c>
      <c r="AO232" s="35">
        <f>I232*0</f>
        <v>0</v>
      </c>
      <c r="AP232" s="35">
        <f>I232*(1-0)</f>
        <v>2450</v>
      </c>
      <c r="AQ232" s="84" t="s">
        <v>141</v>
      </c>
      <c r="AV232" s="35">
        <f>AW232+AX232</f>
        <v>2450</v>
      </c>
      <c r="AW232" s="35">
        <f>H232*AO232</f>
        <v>0</v>
      </c>
      <c r="AX232" s="35">
        <f>H232*AP232</f>
        <v>2450</v>
      </c>
      <c r="AY232" s="86" t="s">
        <v>1047</v>
      </c>
      <c r="AZ232" s="86" t="s">
        <v>1059</v>
      </c>
      <c r="BA232" s="83" t="s">
        <v>1077</v>
      </c>
      <c r="BC232" s="35">
        <f>AW232+AX232</f>
        <v>2450</v>
      </c>
      <c r="BD232" s="35">
        <f>I232/(100-BE232)*100</f>
        <v>2450</v>
      </c>
      <c r="BE232" s="35">
        <v>0</v>
      </c>
      <c r="BF232" s="35">
        <f>232</f>
        <v>232</v>
      </c>
      <c r="BH232" s="64">
        <f>H232*AO232</f>
        <v>0</v>
      </c>
      <c r="BI232" s="64">
        <f>H232*AP232</f>
        <v>2450</v>
      </c>
      <c r="BJ232" s="64">
        <f>H232*I232</f>
        <v>2450</v>
      </c>
      <c r="BK232" s="64" t="s">
        <v>1086</v>
      </c>
      <c r="BL232" s="35" t="s">
        <v>118</v>
      </c>
    </row>
    <row r="233" spans="1:64" x14ac:dyDescent="0.2">
      <c r="A233" s="19"/>
      <c r="C233" s="59" t="s">
        <v>521</v>
      </c>
      <c r="D233" s="180" t="s">
        <v>964</v>
      </c>
      <c r="E233" s="181"/>
      <c r="F233" s="181"/>
      <c r="G233" s="181"/>
      <c r="H233" s="181"/>
      <c r="I233" s="182"/>
      <c r="J233" s="181"/>
      <c r="K233" s="181"/>
      <c r="L233" s="181"/>
      <c r="M233" s="183"/>
      <c r="N233" s="19"/>
    </row>
    <row r="234" spans="1:64" x14ac:dyDescent="0.2">
      <c r="A234" s="47" t="s">
        <v>240</v>
      </c>
      <c r="B234" s="55" t="s">
        <v>63</v>
      </c>
      <c r="C234" s="55" t="s">
        <v>630</v>
      </c>
      <c r="D234" s="178" t="s">
        <v>965</v>
      </c>
      <c r="E234" s="179"/>
      <c r="F234" s="179"/>
      <c r="G234" s="55" t="s">
        <v>1002</v>
      </c>
      <c r="H234" s="64">
        <v>1</v>
      </c>
      <c r="I234" s="71">
        <v>5500</v>
      </c>
      <c r="J234" s="64">
        <f>H234*AO234</f>
        <v>0</v>
      </c>
      <c r="K234" s="64">
        <f>H234*AP234</f>
        <v>5500</v>
      </c>
      <c r="L234" s="64">
        <f>H234*I234</f>
        <v>5500</v>
      </c>
      <c r="M234" s="79"/>
      <c r="N234" s="19"/>
      <c r="Z234" s="35">
        <f>IF(AQ234="5",BJ234,0)</f>
        <v>0</v>
      </c>
      <c r="AB234" s="35">
        <f>IF(AQ234="1",BH234,0)</f>
        <v>0</v>
      </c>
      <c r="AC234" s="35">
        <f>IF(AQ234="1",BI234,0)</f>
        <v>5500</v>
      </c>
      <c r="AD234" s="35">
        <f>IF(AQ234="7",BH234,0)</f>
        <v>0</v>
      </c>
      <c r="AE234" s="35">
        <f>IF(AQ234="7",BI234,0)</f>
        <v>0</v>
      </c>
      <c r="AF234" s="35">
        <f>IF(AQ234="2",BH234,0)</f>
        <v>0</v>
      </c>
      <c r="AG234" s="35">
        <f>IF(AQ234="2",BI234,0)</f>
        <v>0</v>
      </c>
      <c r="AH234" s="35">
        <f>IF(AQ234="0",BJ234,0)</f>
        <v>0</v>
      </c>
      <c r="AI234" s="83" t="s">
        <v>63</v>
      </c>
      <c r="AJ234" s="64">
        <f>IF(AN234=0,L234,0)</f>
        <v>0</v>
      </c>
      <c r="AK234" s="64">
        <f>IF(AN234=15,L234,0)</f>
        <v>0</v>
      </c>
      <c r="AL234" s="64">
        <f>IF(AN234=21,L234,0)</f>
        <v>5500</v>
      </c>
      <c r="AN234" s="35">
        <v>21</v>
      </c>
      <c r="AO234" s="35">
        <f>I234*0</f>
        <v>0</v>
      </c>
      <c r="AP234" s="35">
        <f>I234*(1-0)</f>
        <v>5500</v>
      </c>
      <c r="AQ234" s="84" t="s">
        <v>141</v>
      </c>
      <c r="AV234" s="35">
        <f>AW234+AX234</f>
        <v>5500</v>
      </c>
      <c r="AW234" s="35">
        <f>H234*AO234</f>
        <v>0</v>
      </c>
      <c r="AX234" s="35">
        <f>H234*AP234</f>
        <v>5500</v>
      </c>
      <c r="AY234" s="86" t="s">
        <v>1047</v>
      </c>
      <c r="AZ234" s="86" t="s">
        <v>1059</v>
      </c>
      <c r="BA234" s="83" t="s">
        <v>1077</v>
      </c>
      <c r="BC234" s="35">
        <f>AW234+AX234</f>
        <v>5500</v>
      </c>
      <c r="BD234" s="35">
        <f>I234/(100-BE234)*100</f>
        <v>5500</v>
      </c>
      <c r="BE234" s="35">
        <v>0</v>
      </c>
      <c r="BF234" s="35">
        <f>234</f>
        <v>234</v>
      </c>
      <c r="BH234" s="64">
        <f>H234*AO234</f>
        <v>0</v>
      </c>
      <c r="BI234" s="64">
        <f>H234*AP234</f>
        <v>5500</v>
      </c>
      <c r="BJ234" s="64">
        <f>H234*I234</f>
        <v>5500</v>
      </c>
      <c r="BK234" s="64" t="s">
        <v>1086</v>
      </c>
      <c r="BL234" s="35" t="s">
        <v>118</v>
      </c>
    </row>
    <row r="235" spans="1:64" x14ac:dyDescent="0.2">
      <c r="A235" s="19"/>
      <c r="C235" s="59" t="s">
        <v>521</v>
      </c>
      <c r="D235" s="180" t="s">
        <v>966</v>
      </c>
      <c r="E235" s="181"/>
      <c r="F235" s="181"/>
      <c r="G235" s="181"/>
      <c r="H235" s="181"/>
      <c r="I235" s="182"/>
      <c r="J235" s="181"/>
      <c r="K235" s="181"/>
      <c r="L235" s="181"/>
      <c r="M235" s="183"/>
      <c r="N235" s="19"/>
    </row>
    <row r="236" spans="1:64" x14ac:dyDescent="0.2">
      <c r="A236" s="47" t="s">
        <v>241</v>
      </c>
      <c r="B236" s="55" t="s">
        <v>63</v>
      </c>
      <c r="C236" s="55" t="s">
        <v>631</v>
      </c>
      <c r="D236" s="178" t="s">
        <v>967</v>
      </c>
      <c r="E236" s="179"/>
      <c r="F236" s="179"/>
      <c r="G236" s="55" t="s">
        <v>999</v>
      </c>
      <c r="H236" s="64">
        <v>100</v>
      </c>
      <c r="I236" s="71">
        <v>79</v>
      </c>
      <c r="J236" s="64">
        <f>H236*AO236</f>
        <v>0</v>
      </c>
      <c r="K236" s="64">
        <f>H236*AP236</f>
        <v>7900</v>
      </c>
      <c r="L236" s="64">
        <f>H236*I236</f>
        <v>7900</v>
      </c>
      <c r="M236" s="79" t="s">
        <v>1020</v>
      </c>
      <c r="N236" s="19"/>
      <c r="Z236" s="35">
        <f>IF(AQ236="5",BJ236,0)</f>
        <v>0</v>
      </c>
      <c r="AB236" s="35">
        <f>IF(AQ236="1",BH236,0)</f>
        <v>0</v>
      </c>
      <c r="AC236" s="35">
        <f>IF(AQ236="1",BI236,0)</f>
        <v>7900</v>
      </c>
      <c r="AD236" s="35">
        <f>IF(AQ236="7",BH236,0)</f>
        <v>0</v>
      </c>
      <c r="AE236" s="35">
        <f>IF(AQ236="7",BI236,0)</f>
        <v>0</v>
      </c>
      <c r="AF236" s="35">
        <f>IF(AQ236="2",BH236,0)</f>
        <v>0</v>
      </c>
      <c r="AG236" s="35">
        <f>IF(AQ236="2",BI236,0)</f>
        <v>0</v>
      </c>
      <c r="AH236" s="35">
        <f>IF(AQ236="0",BJ236,0)</f>
        <v>0</v>
      </c>
      <c r="AI236" s="83" t="s">
        <v>63</v>
      </c>
      <c r="AJ236" s="64">
        <f>IF(AN236=0,L236,0)</f>
        <v>0</v>
      </c>
      <c r="AK236" s="64">
        <f>IF(AN236=15,L236,0)</f>
        <v>0</v>
      </c>
      <c r="AL236" s="64">
        <f>IF(AN236=21,L236,0)</f>
        <v>7900</v>
      </c>
      <c r="AN236" s="35">
        <v>21</v>
      </c>
      <c r="AO236" s="35">
        <f>I236*0</f>
        <v>0</v>
      </c>
      <c r="AP236" s="35">
        <f>I236*(1-0)</f>
        <v>79</v>
      </c>
      <c r="AQ236" s="84" t="s">
        <v>141</v>
      </c>
      <c r="AV236" s="35">
        <f>AW236+AX236</f>
        <v>7900</v>
      </c>
      <c r="AW236" s="35">
        <f>H236*AO236</f>
        <v>0</v>
      </c>
      <c r="AX236" s="35">
        <f>H236*AP236</f>
        <v>7900</v>
      </c>
      <c r="AY236" s="86" t="s">
        <v>1047</v>
      </c>
      <c r="AZ236" s="86" t="s">
        <v>1059</v>
      </c>
      <c r="BA236" s="83" t="s">
        <v>1077</v>
      </c>
      <c r="BC236" s="35">
        <f>AW236+AX236</f>
        <v>7900</v>
      </c>
      <c r="BD236" s="35">
        <f>I236/(100-BE236)*100</f>
        <v>79</v>
      </c>
      <c r="BE236" s="35">
        <v>0</v>
      </c>
      <c r="BF236" s="35">
        <f>236</f>
        <v>236</v>
      </c>
      <c r="BH236" s="64">
        <f>H236*AO236</f>
        <v>0</v>
      </c>
      <c r="BI236" s="64">
        <f>H236*AP236</f>
        <v>7900</v>
      </c>
      <c r="BJ236" s="64">
        <f>H236*I236</f>
        <v>7900</v>
      </c>
      <c r="BK236" s="64" t="s">
        <v>1086</v>
      </c>
      <c r="BL236" s="35" t="s">
        <v>118</v>
      </c>
    </row>
    <row r="237" spans="1:64" x14ac:dyDescent="0.2">
      <c r="A237" s="19"/>
      <c r="C237" s="59" t="s">
        <v>521</v>
      </c>
      <c r="D237" s="180" t="s">
        <v>968</v>
      </c>
      <c r="E237" s="181"/>
      <c r="F237" s="181"/>
      <c r="G237" s="181"/>
      <c r="H237" s="181"/>
      <c r="I237" s="182"/>
      <c r="J237" s="181"/>
      <c r="K237" s="181"/>
      <c r="L237" s="181"/>
      <c r="M237" s="183"/>
      <c r="N237" s="19"/>
    </row>
    <row r="238" spans="1:64" x14ac:dyDescent="0.2">
      <c r="A238" s="48"/>
      <c r="B238" s="56" t="s">
        <v>64</v>
      </c>
      <c r="C238" s="56"/>
      <c r="D238" s="184" t="s">
        <v>71</v>
      </c>
      <c r="E238" s="185"/>
      <c r="F238" s="185"/>
      <c r="G238" s="62" t="s">
        <v>60</v>
      </c>
      <c r="H238" s="62" t="s">
        <v>60</v>
      </c>
      <c r="I238" s="72" t="s">
        <v>60</v>
      </c>
      <c r="J238" s="90">
        <f>J239+J246+J257+J266+J293+J398</f>
        <v>267415</v>
      </c>
      <c r="K238" s="90">
        <f>K239+K246+K257+K266+K293+K398</f>
        <v>90358.05</v>
      </c>
      <c r="L238" s="90">
        <f>L239+L246+L257+L266+L293+L398</f>
        <v>357773.05000000005</v>
      </c>
      <c r="M238" s="80"/>
      <c r="N238" s="19"/>
    </row>
    <row r="239" spans="1:64" x14ac:dyDescent="0.2">
      <c r="A239" s="46"/>
      <c r="B239" s="54" t="s">
        <v>64</v>
      </c>
      <c r="C239" s="54" t="s">
        <v>102</v>
      </c>
      <c r="D239" s="176" t="s">
        <v>121</v>
      </c>
      <c r="E239" s="177"/>
      <c r="F239" s="177"/>
      <c r="G239" s="61" t="s">
        <v>60</v>
      </c>
      <c r="H239" s="61" t="s">
        <v>60</v>
      </c>
      <c r="I239" s="70" t="s">
        <v>60</v>
      </c>
      <c r="J239" s="89">
        <f>SUM(J240:J244)</f>
        <v>4060</v>
      </c>
      <c r="K239" s="89">
        <f>SUM(K240:K244)</f>
        <v>9713.9069999999992</v>
      </c>
      <c r="L239" s="89">
        <f>SUM(L240:L244)</f>
        <v>13773.906999999999</v>
      </c>
      <c r="M239" s="78"/>
      <c r="N239" s="19"/>
      <c r="AI239" s="83" t="s">
        <v>64</v>
      </c>
      <c r="AS239" s="89">
        <f>SUM(AJ240:AJ244)</f>
        <v>0</v>
      </c>
      <c r="AT239" s="89">
        <f>SUM(AK240:AK244)</f>
        <v>0</v>
      </c>
      <c r="AU239" s="89">
        <f>SUM(AL240:AL244)</f>
        <v>13773.906999999999</v>
      </c>
    </row>
    <row r="240" spans="1:64" x14ac:dyDescent="0.2">
      <c r="A240" s="47" t="s">
        <v>242</v>
      </c>
      <c r="B240" s="55" t="s">
        <v>64</v>
      </c>
      <c r="C240" s="55" t="s">
        <v>548</v>
      </c>
      <c r="D240" s="178" t="s">
        <v>869</v>
      </c>
      <c r="E240" s="179"/>
      <c r="F240" s="179"/>
      <c r="G240" s="55" t="s">
        <v>999</v>
      </c>
      <c r="H240" s="64">
        <v>7</v>
      </c>
      <c r="I240" s="71">
        <v>1350</v>
      </c>
      <c r="J240" s="64">
        <f>H240*AO240</f>
        <v>0</v>
      </c>
      <c r="K240" s="64">
        <f>H240*AP240</f>
        <v>9450</v>
      </c>
      <c r="L240" s="64">
        <f>H240*I240</f>
        <v>9450</v>
      </c>
      <c r="M240" s="79" t="s">
        <v>1020</v>
      </c>
      <c r="N240" s="19"/>
      <c r="Z240" s="35">
        <f>IF(AQ240="5",BJ240,0)</f>
        <v>0</v>
      </c>
      <c r="AB240" s="35">
        <f>IF(AQ240="1",BH240,0)</f>
        <v>0</v>
      </c>
      <c r="AC240" s="35">
        <f>IF(AQ240="1",BI240,0)</f>
        <v>0</v>
      </c>
      <c r="AD240" s="35">
        <f>IF(AQ240="7",BH240,0)</f>
        <v>0</v>
      </c>
      <c r="AE240" s="35">
        <f>IF(AQ240="7",BI240,0)</f>
        <v>9450</v>
      </c>
      <c r="AF240" s="35">
        <f>IF(AQ240="2",BH240,0)</f>
        <v>0</v>
      </c>
      <c r="AG240" s="35">
        <f>IF(AQ240="2",BI240,0)</f>
        <v>0</v>
      </c>
      <c r="AH240" s="35">
        <f>IF(AQ240="0",BJ240,0)</f>
        <v>0</v>
      </c>
      <c r="AI240" s="83" t="s">
        <v>64</v>
      </c>
      <c r="AJ240" s="64">
        <f>IF(AN240=0,L240,0)</f>
        <v>0</v>
      </c>
      <c r="AK240" s="64">
        <f>IF(AN240=15,L240,0)</f>
        <v>0</v>
      </c>
      <c r="AL240" s="64">
        <f>IF(AN240=21,L240,0)</f>
        <v>9450</v>
      </c>
      <c r="AN240" s="35">
        <v>21</v>
      </c>
      <c r="AO240" s="35">
        <f>I240*0</f>
        <v>0</v>
      </c>
      <c r="AP240" s="35">
        <f>I240*(1-0)</f>
        <v>1350</v>
      </c>
      <c r="AQ240" s="84" t="s">
        <v>144</v>
      </c>
      <c r="AV240" s="35">
        <f>AW240+AX240</f>
        <v>9450</v>
      </c>
      <c r="AW240" s="35">
        <f>H240*AO240</f>
        <v>0</v>
      </c>
      <c r="AX240" s="35">
        <f>H240*AP240</f>
        <v>9450</v>
      </c>
      <c r="AY240" s="86" t="s">
        <v>1031</v>
      </c>
      <c r="AZ240" s="86" t="s">
        <v>1060</v>
      </c>
      <c r="BA240" s="83" t="s">
        <v>1078</v>
      </c>
      <c r="BC240" s="35">
        <f>AW240+AX240</f>
        <v>9450</v>
      </c>
      <c r="BD240" s="35">
        <f>I240/(100-BE240)*100</f>
        <v>1350</v>
      </c>
      <c r="BE240" s="35">
        <v>0</v>
      </c>
      <c r="BF240" s="35">
        <f>240</f>
        <v>240</v>
      </c>
      <c r="BH240" s="64">
        <f>H240*AO240</f>
        <v>0</v>
      </c>
      <c r="BI240" s="64">
        <f>H240*AP240</f>
        <v>9450</v>
      </c>
      <c r="BJ240" s="64">
        <f>H240*I240</f>
        <v>9450</v>
      </c>
      <c r="BK240" s="64" t="s">
        <v>1086</v>
      </c>
      <c r="BL240" s="35">
        <v>713</v>
      </c>
    </row>
    <row r="241" spans="1:64" x14ac:dyDescent="0.2">
      <c r="A241" s="19"/>
      <c r="C241" s="59" t="s">
        <v>521</v>
      </c>
      <c r="D241" s="180" t="s">
        <v>869</v>
      </c>
      <c r="E241" s="181"/>
      <c r="F241" s="181"/>
      <c r="G241" s="181"/>
      <c r="H241" s="181"/>
      <c r="I241" s="182"/>
      <c r="J241" s="181"/>
      <c r="K241" s="181"/>
      <c r="L241" s="181"/>
      <c r="M241" s="183"/>
      <c r="N241" s="19"/>
    </row>
    <row r="242" spans="1:64" x14ac:dyDescent="0.2">
      <c r="A242" s="49" t="s">
        <v>243</v>
      </c>
      <c r="B242" s="57" t="s">
        <v>64</v>
      </c>
      <c r="C242" s="57" t="s">
        <v>632</v>
      </c>
      <c r="D242" s="186" t="s">
        <v>870</v>
      </c>
      <c r="E242" s="187"/>
      <c r="F242" s="187"/>
      <c r="G242" s="57" t="s">
        <v>999</v>
      </c>
      <c r="H242" s="65">
        <v>7</v>
      </c>
      <c r="I242" s="73">
        <v>580</v>
      </c>
      <c r="J242" s="65">
        <f>H242*AO242</f>
        <v>4060</v>
      </c>
      <c r="K242" s="65">
        <f>H242*AP242</f>
        <v>0</v>
      </c>
      <c r="L242" s="65">
        <f>H242*I242</f>
        <v>4060</v>
      </c>
      <c r="M242" s="81"/>
      <c r="N242" s="19"/>
      <c r="Z242" s="35">
        <f>IF(AQ242="5",BJ242,0)</f>
        <v>0</v>
      </c>
      <c r="AB242" s="35">
        <f>IF(AQ242="1",BH242,0)</f>
        <v>0</v>
      </c>
      <c r="AC242" s="35">
        <f>IF(AQ242="1",BI242,0)</f>
        <v>0</v>
      </c>
      <c r="AD242" s="35">
        <f>IF(AQ242="7",BH242,0)</f>
        <v>4060</v>
      </c>
      <c r="AE242" s="35">
        <f>IF(AQ242="7",BI242,0)</f>
        <v>0</v>
      </c>
      <c r="AF242" s="35">
        <f>IF(AQ242="2",BH242,0)</f>
        <v>0</v>
      </c>
      <c r="AG242" s="35">
        <f>IF(AQ242="2",BI242,0)</f>
        <v>0</v>
      </c>
      <c r="AH242" s="35">
        <f>IF(AQ242="0",BJ242,0)</f>
        <v>0</v>
      </c>
      <c r="AI242" s="83" t="s">
        <v>64</v>
      </c>
      <c r="AJ242" s="65">
        <f>IF(AN242=0,L242,0)</f>
        <v>0</v>
      </c>
      <c r="AK242" s="65">
        <f>IF(AN242=15,L242,0)</f>
        <v>0</v>
      </c>
      <c r="AL242" s="65">
        <f>IF(AN242=21,L242,0)</f>
        <v>4060</v>
      </c>
      <c r="AN242" s="35">
        <v>21</v>
      </c>
      <c r="AO242" s="35">
        <f>I242*1</f>
        <v>580</v>
      </c>
      <c r="AP242" s="35">
        <f>I242*(1-1)</f>
        <v>0</v>
      </c>
      <c r="AQ242" s="85" t="s">
        <v>144</v>
      </c>
      <c r="AV242" s="35">
        <f>AW242+AX242</f>
        <v>4060</v>
      </c>
      <c r="AW242" s="35">
        <f>H242*AO242</f>
        <v>4060</v>
      </c>
      <c r="AX242" s="35">
        <f>H242*AP242</f>
        <v>0</v>
      </c>
      <c r="AY242" s="86" t="s">
        <v>1031</v>
      </c>
      <c r="AZ242" s="86" t="s">
        <v>1060</v>
      </c>
      <c r="BA242" s="83" t="s">
        <v>1078</v>
      </c>
      <c r="BC242" s="35">
        <f>AW242+AX242</f>
        <v>4060</v>
      </c>
      <c r="BD242" s="35">
        <f>I242/(100-BE242)*100</f>
        <v>580</v>
      </c>
      <c r="BE242" s="35">
        <v>0</v>
      </c>
      <c r="BF242" s="35">
        <f>242</f>
        <v>242</v>
      </c>
      <c r="BH242" s="65">
        <f>H242*AO242</f>
        <v>4060</v>
      </c>
      <c r="BI242" s="65">
        <f>H242*AP242</f>
        <v>0</v>
      </c>
      <c r="BJ242" s="65">
        <f>H242*I242</f>
        <v>4060</v>
      </c>
      <c r="BK242" s="65" t="s">
        <v>1001</v>
      </c>
      <c r="BL242" s="35">
        <v>713</v>
      </c>
    </row>
    <row r="243" spans="1:64" x14ac:dyDescent="0.2">
      <c r="A243" s="19"/>
      <c r="C243" s="59" t="s">
        <v>521</v>
      </c>
      <c r="D243" s="180" t="s">
        <v>870</v>
      </c>
      <c r="E243" s="181"/>
      <c r="F243" s="181"/>
      <c r="G243" s="181"/>
      <c r="H243" s="181"/>
      <c r="I243" s="182"/>
      <c r="J243" s="181"/>
      <c r="K243" s="181"/>
      <c r="L243" s="181"/>
      <c r="M243" s="183"/>
      <c r="N243" s="19"/>
    </row>
    <row r="244" spans="1:64" x14ac:dyDescent="0.2">
      <c r="A244" s="47" t="s">
        <v>244</v>
      </c>
      <c r="B244" s="55" t="s">
        <v>64</v>
      </c>
      <c r="C244" s="55" t="s">
        <v>550</v>
      </c>
      <c r="D244" s="178" t="s">
        <v>871</v>
      </c>
      <c r="E244" s="179"/>
      <c r="F244" s="179"/>
      <c r="G244" s="55" t="s">
        <v>1000</v>
      </c>
      <c r="H244" s="64">
        <v>149.1</v>
      </c>
      <c r="I244" s="71">
        <v>1.77</v>
      </c>
      <c r="J244" s="64">
        <f>H244*AO244</f>
        <v>0</v>
      </c>
      <c r="K244" s="64">
        <f>H244*AP244</f>
        <v>263.90699999999998</v>
      </c>
      <c r="L244" s="64">
        <f>H244*I244</f>
        <v>263.90699999999998</v>
      </c>
      <c r="M244" s="79" t="s">
        <v>1020</v>
      </c>
      <c r="N244" s="19"/>
      <c r="Z244" s="35">
        <f>IF(AQ244="5",BJ244,0)</f>
        <v>0</v>
      </c>
      <c r="AB244" s="35">
        <f>IF(AQ244="1",BH244,0)</f>
        <v>0</v>
      </c>
      <c r="AC244" s="35">
        <f>IF(AQ244="1",BI244,0)</f>
        <v>0</v>
      </c>
      <c r="AD244" s="35">
        <f>IF(AQ244="7",BH244,0)</f>
        <v>0</v>
      </c>
      <c r="AE244" s="35">
        <f>IF(AQ244="7",BI244,0)</f>
        <v>263.90699999999998</v>
      </c>
      <c r="AF244" s="35">
        <f>IF(AQ244="2",BH244,0)</f>
        <v>0</v>
      </c>
      <c r="AG244" s="35">
        <f>IF(AQ244="2",BI244,0)</f>
        <v>0</v>
      </c>
      <c r="AH244" s="35">
        <f>IF(AQ244="0",BJ244,0)</f>
        <v>0</v>
      </c>
      <c r="AI244" s="83" t="s">
        <v>64</v>
      </c>
      <c r="AJ244" s="64">
        <f>IF(AN244=0,L244,0)</f>
        <v>0</v>
      </c>
      <c r="AK244" s="64">
        <f>IF(AN244=15,L244,0)</f>
        <v>0</v>
      </c>
      <c r="AL244" s="64">
        <f>IF(AN244=21,L244,0)</f>
        <v>263.90699999999998</v>
      </c>
      <c r="AN244" s="35">
        <v>21</v>
      </c>
      <c r="AO244" s="35">
        <f>I244*0</f>
        <v>0</v>
      </c>
      <c r="AP244" s="35">
        <f>I244*(1-0)</f>
        <v>1.77</v>
      </c>
      <c r="AQ244" s="84" t="s">
        <v>144</v>
      </c>
      <c r="AV244" s="35">
        <f>AW244+AX244</f>
        <v>263.90699999999998</v>
      </c>
      <c r="AW244" s="35">
        <f>H244*AO244</f>
        <v>0</v>
      </c>
      <c r="AX244" s="35">
        <f>H244*AP244</f>
        <v>263.90699999999998</v>
      </c>
      <c r="AY244" s="86" t="s">
        <v>1031</v>
      </c>
      <c r="AZ244" s="86" t="s">
        <v>1060</v>
      </c>
      <c r="BA244" s="83" t="s">
        <v>1078</v>
      </c>
      <c r="BC244" s="35">
        <f>AW244+AX244</f>
        <v>263.90699999999998</v>
      </c>
      <c r="BD244" s="35">
        <f>I244/(100-BE244)*100</f>
        <v>1.77</v>
      </c>
      <c r="BE244" s="35">
        <v>0</v>
      </c>
      <c r="BF244" s="35">
        <f>244</f>
        <v>244</v>
      </c>
      <c r="BH244" s="64">
        <f>H244*AO244</f>
        <v>0</v>
      </c>
      <c r="BI244" s="64">
        <f>H244*AP244</f>
        <v>263.90699999999998</v>
      </c>
      <c r="BJ244" s="64">
        <f>H244*I244</f>
        <v>263.90699999999998</v>
      </c>
      <c r="BK244" s="64" t="s">
        <v>1086</v>
      </c>
      <c r="BL244" s="35">
        <v>713</v>
      </c>
    </row>
    <row r="245" spans="1:64" x14ac:dyDescent="0.2">
      <c r="A245" s="19"/>
      <c r="C245" s="59" t="s">
        <v>521</v>
      </c>
      <c r="D245" s="180" t="s">
        <v>872</v>
      </c>
      <c r="E245" s="181"/>
      <c r="F245" s="181"/>
      <c r="G245" s="181"/>
      <c r="H245" s="181"/>
      <c r="I245" s="182"/>
      <c r="J245" s="181"/>
      <c r="K245" s="181"/>
      <c r="L245" s="181"/>
      <c r="M245" s="183"/>
      <c r="N245" s="19"/>
    </row>
    <row r="246" spans="1:64" x14ac:dyDescent="0.2">
      <c r="A246" s="46"/>
      <c r="B246" s="54" t="s">
        <v>64</v>
      </c>
      <c r="C246" s="54" t="s">
        <v>114</v>
      </c>
      <c r="D246" s="176" t="s">
        <v>133</v>
      </c>
      <c r="E246" s="177"/>
      <c r="F246" s="177"/>
      <c r="G246" s="61" t="s">
        <v>60</v>
      </c>
      <c r="H246" s="61" t="s">
        <v>60</v>
      </c>
      <c r="I246" s="70" t="s">
        <v>60</v>
      </c>
      <c r="J246" s="89">
        <f>SUM(J247:J255)</f>
        <v>605</v>
      </c>
      <c r="K246" s="89">
        <f>SUM(K247:K255)</f>
        <v>1677.2809999999999</v>
      </c>
      <c r="L246" s="89">
        <f>SUM(L247:L255)</f>
        <v>2282.2809999999999</v>
      </c>
      <c r="M246" s="78"/>
      <c r="N246" s="19"/>
      <c r="AI246" s="83" t="s">
        <v>64</v>
      </c>
      <c r="AS246" s="89">
        <f>SUM(AJ247:AJ255)</f>
        <v>0</v>
      </c>
      <c r="AT246" s="89">
        <f>SUM(AK247:AK255)</f>
        <v>0</v>
      </c>
      <c r="AU246" s="89">
        <f>SUM(AL247:AL255)</f>
        <v>2282.2809999999999</v>
      </c>
    </row>
    <row r="247" spans="1:64" x14ac:dyDescent="0.2">
      <c r="A247" s="47" t="s">
        <v>245</v>
      </c>
      <c r="B247" s="55" t="s">
        <v>64</v>
      </c>
      <c r="C247" s="55" t="s">
        <v>551</v>
      </c>
      <c r="D247" s="178" t="s">
        <v>873</v>
      </c>
      <c r="E247" s="179"/>
      <c r="F247" s="179"/>
      <c r="G247" s="55" t="s">
        <v>1001</v>
      </c>
      <c r="H247" s="64">
        <v>10</v>
      </c>
      <c r="I247" s="71">
        <v>125</v>
      </c>
      <c r="J247" s="64">
        <f>H247*AO247</f>
        <v>0</v>
      </c>
      <c r="K247" s="64">
        <f>H247*AP247</f>
        <v>1250</v>
      </c>
      <c r="L247" s="64">
        <f>H247*I247</f>
        <v>1250</v>
      </c>
      <c r="M247" s="79"/>
      <c r="N247" s="19"/>
      <c r="Z247" s="35">
        <f>IF(AQ247="5",BJ247,0)</f>
        <v>0</v>
      </c>
      <c r="AB247" s="35">
        <f>IF(AQ247="1",BH247,0)</f>
        <v>0</v>
      </c>
      <c r="AC247" s="35">
        <f>IF(AQ247="1",BI247,0)</f>
        <v>0</v>
      </c>
      <c r="AD247" s="35">
        <f>IF(AQ247="7",BH247,0)</f>
        <v>0</v>
      </c>
      <c r="AE247" s="35">
        <f>IF(AQ247="7",BI247,0)</f>
        <v>1250</v>
      </c>
      <c r="AF247" s="35">
        <f>IF(AQ247="2",BH247,0)</f>
        <v>0</v>
      </c>
      <c r="AG247" s="35">
        <f>IF(AQ247="2",BI247,0)</f>
        <v>0</v>
      </c>
      <c r="AH247" s="35">
        <f>IF(AQ247="0",BJ247,0)</f>
        <v>0</v>
      </c>
      <c r="AI247" s="83" t="s">
        <v>64</v>
      </c>
      <c r="AJ247" s="64">
        <f>IF(AN247=0,L247,0)</f>
        <v>0</v>
      </c>
      <c r="AK247" s="64">
        <f>IF(AN247=15,L247,0)</f>
        <v>0</v>
      </c>
      <c r="AL247" s="64">
        <f>IF(AN247=21,L247,0)</f>
        <v>1250</v>
      </c>
      <c r="AN247" s="35">
        <v>21</v>
      </c>
      <c r="AO247" s="35">
        <f>I247*0</f>
        <v>0</v>
      </c>
      <c r="AP247" s="35">
        <f>I247*(1-0)</f>
        <v>125</v>
      </c>
      <c r="AQ247" s="84" t="s">
        <v>144</v>
      </c>
      <c r="AV247" s="35">
        <f>AW247+AX247</f>
        <v>1250</v>
      </c>
      <c r="AW247" s="35">
        <f>H247*AO247</f>
        <v>0</v>
      </c>
      <c r="AX247" s="35">
        <f>H247*AP247</f>
        <v>1250</v>
      </c>
      <c r="AY247" s="86" t="s">
        <v>1043</v>
      </c>
      <c r="AZ247" s="86" t="s">
        <v>1061</v>
      </c>
      <c r="BA247" s="83" t="s">
        <v>1078</v>
      </c>
      <c r="BC247" s="35">
        <f>AW247+AX247</f>
        <v>1250</v>
      </c>
      <c r="BD247" s="35">
        <f>I247/(100-BE247)*100</f>
        <v>125</v>
      </c>
      <c r="BE247" s="35">
        <v>0</v>
      </c>
      <c r="BF247" s="35">
        <f>247</f>
        <v>247</v>
      </c>
      <c r="BH247" s="64">
        <f>H247*AO247</f>
        <v>0</v>
      </c>
      <c r="BI247" s="64">
        <f>H247*AP247</f>
        <v>1250</v>
      </c>
      <c r="BJ247" s="64">
        <f>H247*I247</f>
        <v>1250</v>
      </c>
      <c r="BK247" s="64" t="s">
        <v>1086</v>
      </c>
      <c r="BL247" s="35">
        <v>724</v>
      </c>
    </row>
    <row r="248" spans="1:64" x14ac:dyDescent="0.2">
      <c r="A248" s="19"/>
      <c r="C248" s="59" t="s">
        <v>521</v>
      </c>
      <c r="D248" s="180" t="s">
        <v>873</v>
      </c>
      <c r="E248" s="181"/>
      <c r="F248" s="181"/>
      <c r="G248" s="181"/>
      <c r="H248" s="181"/>
      <c r="I248" s="182"/>
      <c r="J248" s="181"/>
      <c r="K248" s="181"/>
      <c r="L248" s="181"/>
      <c r="M248" s="183"/>
      <c r="N248" s="19"/>
    </row>
    <row r="249" spans="1:64" x14ac:dyDescent="0.2">
      <c r="A249" s="49" t="s">
        <v>246</v>
      </c>
      <c r="B249" s="57" t="s">
        <v>64</v>
      </c>
      <c r="C249" s="57" t="s">
        <v>633</v>
      </c>
      <c r="D249" s="186" t="s">
        <v>874</v>
      </c>
      <c r="E249" s="187"/>
      <c r="F249" s="187"/>
      <c r="G249" s="57" t="s">
        <v>1001</v>
      </c>
      <c r="H249" s="65">
        <v>11</v>
      </c>
      <c r="I249" s="73">
        <v>19</v>
      </c>
      <c r="J249" s="65">
        <f>H249*AO249</f>
        <v>209</v>
      </c>
      <c r="K249" s="65">
        <f>H249*AP249</f>
        <v>0</v>
      </c>
      <c r="L249" s="65">
        <f>H249*I249</f>
        <v>209</v>
      </c>
      <c r="M249" s="81"/>
      <c r="N249" s="19"/>
      <c r="Z249" s="35">
        <f>IF(AQ249="5",BJ249,0)</f>
        <v>0</v>
      </c>
      <c r="AB249" s="35">
        <f>IF(AQ249="1",BH249,0)</f>
        <v>0</v>
      </c>
      <c r="AC249" s="35">
        <f>IF(AQ249="1",BI249,0)</f>
        <v>0</v>
      </c>
      <c r="AD249" s="35">
        <f>IF(AQ249="7",BH249,0)</f>
        <v>209</v>
      </c>
      <c r="AE249" s="35">
        <f>IF(AQ249="7",BI249,0)</f>
        <v>0</v>
      </c>
      <c r="AF249" s="35">
        <f>IF(AQ249="2",BH249,0)</f>
        <v>0</v>
      </c>
      <c r="AG249" s="35">
        <f>IF(AQ249="2",BI249,0)</f>
        <v>0</v>
      </c>
      <c r="AH249" s="35">
        <f>IF(AQ249="0",BJ249,0)</f>
        <v>0</v>
      </c>
      <c r="AI249" s="83" t="s">
        <v>64</v>
      </c>
      <c r="AJ249" s="65">
        <f>IF(AN249=0,L249,0)</f>
        <v>0</v>
      </c>
      <c r="AK249" s="65">
        <f>IF(AN249=15,L249,0)</f>
        <v>0</v>
      </c>
      <c r="AL249" s="65">
        <f>IF(AN249=21,L249,0)</f>
        <v>209</v>
      </c>
      <c r="AN249" s="35">
        <v>21</v>
      </c>
      <c r="AO249" s="35">
        <f>I249*1</f>
        <v>19</v>
      </c>
      <c r="AP249" s="35">
        <f>I249*(1-1)</f>
        <v>0</v>
      </c>
      <c r="AQ249" s="85" t="s">
        <v>144</v>
      </c>
      <c r="AV249" s="35">
        <f>AW249+AX249</f>
        <v>209</v>
      </c>
      <c r="AW249" s="35">
        <f>H249*AO249</f>
        <v>209</v>
      </c>
      <c r="AX249" s="35">
        <f>H249*AP249</f>
        <v>0</v>
      </c>
      <c r="AY249" s="86" t="s">
        <v>1043</v>
      </c>
      <c r="AZ249" s="86" t="s">
        <v>1061</v>
      </c>
      <c r="BA249" s="83" t="s">
        <v>1078</v>
      </c>
      <c r="BC249" s="35">
        <f>AW249+AX249</f>
        <v>209</v>
      </c>
      <c r="BD249" s="35">
        <f>I249/(100-BE249)*100</f>
        <v>19</v>
      </c>
      <c r="BE249" s="35">
        <v>0</v>
      </c>
      <c r="BF249" s="35">
        <f>249</f>
        <v>249</v>
      </c>
      <c r="BH249" s="65">
        <f>H249*AO249</f>
        <v>209</v>
      </c>
      <c r="BI249" s="65">
        <f>H249*AP249</f>
        <v>0</v>
      </c>
      <c r="BJ249" s="65">
        <f>H249*I249</f>
        <v>209</v>
      </c>
      <c r="BK249" s="65" t="s">
        <v>1001</v>
      </c>
      <c r="BL249" s="35">
        <v>724</v>
      </c>
    </row>
    <row r="250" spans="1:64" x14ac:dyDescent="0.2">
      <c r="A250" s="19"/>
      <c r="C250" s="59" t="s">
        <v>521</v>
      </c>
      <c r="D250" s="180" t="s">
        <v>874</v>
      </c>
      <c r="E250" s="181"/>
      <c r="F250" s="181"/>
      <c r="G250" s="181"/>
      <c r="H250" s="181"/>
      <c r="I250" s="182"/>
      <c r="J250" s="181"/>
      <c r="K250" s="181"/>
      <c r="L250" s="181"/>
      <c r="M250" s="183"/>
      <c r="N250" s="19"/>
    </row>
    <row r="251" spans="1:64" x14ac:dyDescent="0.2">
      <c r="A251" s="47" t="s">
        <v>247</v>
      </c>
      <c r="B251" s="55" t="s">
        <v>64</v>
      </c>
      <c r="C251" s="55" t="s">
        <v>634</v>
      </c>
      <c r="D251" s="178" t="s">
        <v>875</v>
      </c>
      <c r="E251" s="179"/>
      <c r="F251" s="179"/>
      <c r="G251" s="55" t="s">
        <v>1002</v>
      </c>
      <c r="H251" s="64">
        <v>1</v>
      </c>
      <c r="I251" s="71">
        <v>396</v>
      </c>
      <c r="J251" s="64">
        <f>H251*AO251</f>
        <v>0</v>
      </c>
      <c r="K251" s="64">
        <f>H251*AP251</f>
        <v>396</v>
      </c>
      <c r="L251" s="64">
        <f>H251*I251</f>
        <v>396</v>
      </c>
      <c r="M251" s="79"/>
      <c r="N251" s="19"/>
      <c r="Z251" s="35">
        <f>IF(AQ251="5",BJ251,0)</f>
        <v>0</v>
      </c>
      <c r="AB251" s="35">
        <f>IF(AQ251="1",BH251,0)</f>
        <v>0</v>
      </c>
      <c r="AC251" s="35">
        <f>IF(AQ251="1",BI251,0)</f>
        <v>0</v>
      </c>
      <c r="AD251" s="35">
        <f>IF(AQ251="7",BH251,0)</f>
        <v>0</v>
      </c>
      <c r="AE251" s="35">
        <f>IF(AQ251="7",BI251,0)</f>
        <v>396</v>
      </c>
      <c r="AF251" s="35">
        <f>IF(AQ251="2",BH251,0)</f>
        <v>0</v>
      </c>
      <c r="AG251" s="35">
        <f>IF(AQ251="2",BI251,0)</f>
        <v>0</v>
      </c>
      <c r="AH251" s="35">
        <f>IF(AQ251="0",BJ251,0)</f>
        <v>0</v>
      </c>
      <c r="AI251" s="83" t="s">
        <v>64</v>
      </c>
      <c r="AJ251" s="64">
        <f>IF(AN251=0,L251,0)</f>
        <v>0</v>
      </c>
      <c r="AK251" s="64">
        <f>IF(AN251=15,L251,0)</f>
        <v>0</v>
      </c>
      <c r="AL251" s="64">
        <f>IF(AN251=21,L251,0)</f>
        <v>396</v>
      </c>
      <c r="AN251" s="35">
        <v>21</v>
      </c>
      <c r="AO251" s="35">
        <f>I251*0</f>
        <v>0</v>
      </c>
      <c r="AP251" s="35">
        <f>I251*(1-0)</f>
        <v>396</v>
      </c>
      <c r="AQ251" s="84" t="s">
        <v>144</v>
      </c>
      <c r="AV251" s="35">
        <f>AW251+AX251</f>
        <v>396</v>
      </c>
      <c r="AW251" s="35">
        <f>H251*AO251</f>
        <v>0</v>
      </c>
      <c r="AX251" s="35">
        <f>H251*AP251</f>
        <v>396</v>
      </c>
      <c r="AY251" s="86" t="s">
        <v>1043</v>
      </c>
      <c r="AZ251" s="86" t="s">
        <v>1061</v>
      </c>
      <c r="BA251" s="83" t="s">
        <v>1078</v>
      </c>
      <c r="BC251" s="35">
        <f>AW251+AX251</f>
        <v>396</v>
      </c>
      <c r="BD251" s="35">
        <f>I251/(100-BE251)*100</f>
        <v>396</v>
      </c>
      <c r="BE251" s="35">
        <v>0</v>
      </c>
      <c r="BF251" s="35">
        <f>251</f>
        <v>251</v>
      </c>
      <c r="BH251" s="64">
        <f>H251*AO251</f>
        <v>0</v>
      </c>
      <c r="BI251" s="64">
        <f>H251*AP251</f>
        <v>396</v>
      </c>
      <c r="BJ251" s="64">
        <f>H251*I251</f>
        <v>396</v>
      </c>
      <c r="BK251" s="64" t="s">
        <v>1086</v>
      </c>
      <c r="BL251" s="35">
        <v>724</v>
      </c>
    </row>
    <row r="252" spans="1:64" x14ac:dyDescent="0.2">
      <c r="A252" s="19"/>
      <c r="C252" s="59" t="s">
        <v>521</v>
      </c>
      <c r="D252" s="180" t="s">
        <v>875</v>
      </c>
      <c r="E252" s="181"/>
      <c r="F252" s="181"/>
      <c r="G252" s="181"/>
      <c r="H252" s="181"/>
      <c r="I252" s="182"/>
      <c r="J252" s="181"/>
      <c r="K252" s="181"/>
      <c r="L252" s="181"/>
      <c r="M252" s="183"/>
      <c r="N252" s="19"/>
    </row>
    <row r="253" spans="1:64" x14ac:dyDescent="0.2">
      <c r="A253" s="49" t="s">
        <v>248</v>
      </c>
      <c r="B253" s="57" t="s">
        <v>64</v>
      </c>
      <c r="C253" s="57" t="s">
        <v>635</v>
      </c>
      <c r="D253" s="186" t="s">
        <v>876</v>
      </c>
      <c r="E253" s="187"/>
      <c r="F253" s="187"/>
      <c r="G253" s="57" t="s">
        <v>1001</v>
      </c>
      <c r="H253" s="65">
        <v>11</v>
      </c>
      <c r="I253" s="73">
        <v>36</v>
      </c>
      <c r="J253" s="65">
        <f>H253*AO253</f>
        <v>396</v>
      </c>
      <c r="K253" s="65">
        <f>H253*AP253</f>
        <v>0</v>
      </c>
      <c r="L253" s="65">
        <f>H253*I253</f>
        <v>396</v>
      </c>
      <c r="M253" s="81"/>
      <c r="N253" s="19"/>
      <c r="Z253" s="35">
        <f>IF(AQ253="5",BJ253,0)</f>
        <v>0</v>
      </c>
      <c r="AB253" s="35">
        <f>IF(AQ253="1",BH253,0)</f>
        <v>0</v>
      </c>
      <c r="AC253" s="35">
        <f>IF(AQ253="1",BI253,0)</f>
        <v>0</v>
      </c>
      <c r="AD253" s="35">
        <f>IF(AQ253="7",BH253,0)</f>
        <v>396</v>
      </c>
      <c r="AE253" s="35">
        <f>IF(AQ253="7",BI253,0)</f>
        <v>0</v>
      </c>
      <c r="AF253" s="35">
        <f>IF(AQ253="2",BH253,0)</f>
        <v>0</v>
      </c>
      <c r="AG253" s="35">
        <f>IF(AQ253="2",BI253,0)</f>
        <v>0</v>
      </c>
      <c r="AH253" s="35">
        <f>IF(AQ253="0",BJ253,0)</f>
        <v>0</v>
      </c>
      <c r="AI253" s="83" t="s">
        <v>64</v>
      </c>
      <c r="AJ253" s="65">
        <f>IF(AN253=0,L253,0)</f>
        <v>0</v>
      </c>
      <c r="AK253" s="65">
        <f>IF(AN253=15,L253,0)</f>
        <v>0</v>
      </c>
      <c r="AL253" s="65">
        <f>IF(AN253=21,L253,0)</f>
        <v>396</v>
      </c>
      <c r="AN253" s="35">
        <v>21</v>
      </c>
      <c r="AO253" s="35">
        <f>I253*1</f>
        <v>36</v>
      </c>
      <c r="AP253" s="35">
        <f>I253*(1-1)</f>
        <v>0</v>
      </c>
      <c r="AQ253" s="85" t="s">
        <v>144</v>
      </c>
      <c r="AV253" s="35">
        <f>AW253+AX253</f>
        <v>396</v>
      </c>
      <c r="AW253" s="35">
        <f>H253*AO253</f>
        <v>396</v>
      </c>
      <c r="AX253" s="35">
        <f>H253*AP253</f>
        <v>0</v>
      </c>
      <c r="AY253" s="86" t="s">
        <v>1043</v>
      </c>
      <c r="AZ253" s="86" t="s">
        <v>1061</v>
      </c>
      <c r="BA253" s="83" t="s">
        <v>1078</v>
      </c>
      <c r="BC253" s="35">
        <f>AW253+AX253</f>
        <v>396</v>
      </c>
      <c r="BD253" s="35">
        <f>I253/(100-BE253)*100</f>
        <v>36</v>
      </c>
      <c r="BE253" s="35">
        <v>0</v>
      </c>
      <c r="BF253" s="35">
        <f>253</f>
        <v>253</v>
      </c>
      <c r="BH253" s="65">
        <f>H253*AO253</f>
        <v>396</v>
      </c>
      <c r="BI253" s="65">
        <f>H253*AP253</f>
        <v>0</v>
      </c>
      <c r="BJ253" s="65">
        <f>H253*I253</f>
        <v>396</v>
      </c>
      <c r="BK253" s="65" t="s">
        <v>1001</v>
      </c>
      <c r="BL253" s="35">
        <v>724</v>
      </c>
    </row>
    <row r="254" spans="1:64" x14ac:dyDescent="0.2">
      <c r="A254" s="19"/>
      <c r="C254" s="59" t="s">
        <v>521</v>
      </c>
      <c r="D254" s="180" t="s">
        <v>876</v>
      </c>
      <c r="E254" s="181"/>
      <c r="F254" s="181"/>
      <c r="G254" s="181"/>
      <c r="H254" s="181"/>
      <c r="I254" s="182"/>
      <c r="J254" s="181"/>
      <c r="K254" s="181"/>
      <c r="L254" s="181"/>
      <c r="M254" s="183"/>
      <c r="N254" s="19"/>
    </row>
    <row r="255" spans="1:64" x14ac:dyDescent="0.2">
      <c r="A255" s="47" t="s">
        <v>249</v>
      </c>
      <c r="B255" s="55" t="s">
        <v>64</v>
      </c>
      <c r="C255" s="55" t="s">
        <v>555</v>
      </c>
      <c r="D255" s="178" t="s">
        <v>877</v>
      </c>
      <c r="E255" s="179"/>
      <c r="F255" s="179"/>
      <c r="G255" s="55" t="s">
        <v>1000</v>
      </c>
      <c r="H255" s="64">
        <v>31.280999999999999</v>
      </c>
      <c r="I255" s="71">
        <v>1</v>
      </c>
      <c r="J255" s="64">
        <f>H255*AO255</f>
        <v>0</v>
      </c>
      <c r="K255" s="64">
        <f>H255*AP255</f>
        <v>31.280999999999999</v>
      </c>
      <c r="L255" s="64">
        <f>H255*I255</f>
        <v>31.280999999999999</v>
      </c>
      <c r="M255" s="79" t="s">
        <v>1020</v>
      </c>
      <c r="N255" s="19"/>
      <c r="Z255" s="35">
        <f>IF(AQ255="5",BJ255,0)</f>
        <v>0</v>
      </c>
      <c r="AB255" s="35">
        <f>IF(AQ255="1",BH255,0)</f>
        <v>0</v>
      </c>
      <c r="AC255" s="35">
        <f>IF(AQ255="1",BI255,0)</f>
        <v>0</v>
      </c>
      <c r="AD255" s="35">
        <f>IF(AQ255="7",BH255,0)</f>
        <v>0</v>
      </c>
      <c r="AE255" s="35">
        <f>IF(AQ255="7",BI255,0)</f>
        <v>31.280999999999999</v>
      </c>
      <c r="AF255" s="35">
        <f>IF(AQ255="2",BH255,0)</f>
        <v>0</v>
      </c>
      <c r="AG255" s="35">
        <f>IF(AQ255="2",BI255,0)</f>
        <v>0</v>
      </c>
      <c r="AH255" s="35">
        <f>IF(AQ255="0",BJ255,0)</f>
        <v>0</v>
      </c>
      <c r="AI255" s="83" t="s">
        <v>64</v>
      </c>
      <c r="AJ255" s="64">
        <f>IF(AN255=0,L255,0)</f>
        <v>0</v>
      </c>
      <c r="AK255" s="64">
        <f>IF(AN255=15,L255,0)</f>
        <v>0</v>
      </c>
      <c r="AL255" s="64">
        <f>IF(AN255=21,L255,0)</f>
        <v>31.280999999999999</v>
      </c>
      <c r="AN255" s="35">
        <v>21</v>
      </c>
      <c r="AO255" s="35">
        <f>I255*0</f>
        <v>0</v>
      </c>
      <c r="AP255" s="35">
        <f>I255*(1-0)</f>
        <v>1</v>
      </c>
      <c r="AQ255" s="84" t="s">
        <v>144</v>
      </c>
      <c r="AV255" s="35">
        <f>AW255+AX255</f>
        <v>31.280999999999999</v>
      </c>
      <c r="AW255" s="35">
        <f>H255*AO255</f>
        <v>0</v>
      </c>
      <c r="AX255" s="35">
        <f>H255*AP255</f>
        <v>31.280999999999999</v>
      </c>
      <c r="AY255" s="86" t="s">
        <v>1043</v>
      </c>
      <c r="AZ255" s="86" t="s">
        <v>1061</v>
      </c>
      <c r="BA255" s="83" t="s">
        <v>1078</v>
      </c>
      <c r="BC255" s="35">
        <f>AW255+AX255</f>
        <v>31.280999999999999</v>
      </c>
      <c r="BD255" s="35">
        <f>I255/(100-BE255)*100</f>
        <v>1</v>
      </c>
      <c r="BE255" s="35">
        <v>0</v>
      </c>
      <c r="BF255" s="35">
        <f>255</f>
        <v>255</v>
      </c>
      <c r="BH255" s="64">
        <f>H255*AO255</f>
        <v>0</v>
      </c>
      <c r="BI255" s="64">
        <f>H255*AP255</f>
        <v>31.280999999999999</v>
      </c>
      <c r="BJ255" s="64">
        <f>H255*I255</f>
        <v>31.280999999999999</v>
      </c>
      <c r="BK255" s="64" t="s">
        <v>1086</v>
      </c>
      <c r="BL255" s="35">
        <v>724</v>
      </c>
    </row>
    <row r="256" spans="1:64" x14ac:dyDescent="0.2">
      <c r="A256" s="19"/>
      <c r="C256" s="59" t="s">
        <v>521</v>
      </c>
      <c r="D256" s="180" t="s">
        <v>878</v>
      </c>
      <c r="E256" s="181"/>
      <c r="F256" s="181"/>
      <c r="G256" s="181"/>
      <c r="H256" s="181"/>
      <c r="I256" s="182"/>
      <c r="J256" s="181"/>
      <c r="K256" s="181"/>
      <c r="L256" s="181"/>
      <c r="M256" s="183"/>
      <c r="N256" s="19"/>
    </row>
    <row r="257" spans="1:64" x14ac:dyDescent="0.2">
      <c r="A257" s="46"/>
      <c r="B257" s="54" t="s">
        <v>64</v>
      </c>
      <c r="C257" s="54" t="s">
        <v>115</v>
      </c>
      <c r="D257" s="176" t="s">
        <v>134</v>
      </c>
      <c r="E257" s="177"/>
      <c r="F257" s="177"/>
      <c r="G257" s="61" t="s">
        <v>60</v>
      </c>
      <c r="H257" s="61" t="s">
        <v>60</v>
      </c>
      <c r="I257" s="70" t="s">
        <v>60</v>
      </c>
      <c r="J257" s="89">
        <f>SUM(J258:J264)</f>
        <v>1182</v>
      </c>
      <c r="K257" s="89">
        <f>SUM(K258:K264)</f>
        <v>304.94</v>
      </c>
      <c r="L257" s="89">
        <f>SUM(L258:L264)</f>
        <v>1486.94</v>
      </c>
      <c r="M257" s="78"/>
      <c r="N257" s="19"/>
      <c r="AI257" s="83" t="s">
        <v>64</v>
      </c>
      <c r="AS257" s="89">
        <f>SUM(AJ258:AJ264)</f>
        <v>0</v>
      </c>
      <c r="AT257" s="89">
        <f>SUM(AK258:AK264)</f>
        <v>0</v>
      </c>
      <c r="AU257" s="89">
        <f>SUM(AL258:AL264)</f>
        <v>1486.94</v>
      </c>
    </row>
    <row r="258" spans="1:64" x14ac:dyDescent="0.2">
      <c r="A258" s="47" t="s">
        <v>250</v>
      </c>
      <c r="B258" s="55" t="s">
        <v>64</v>
      </c>
      <c r="C258" s="55" t="s">
        <v>556</v>
      </c>
      <c r="D258" s="178" t="s">
        <v>879</v>
      </c>
      <c r="E258" s="179"/>
      <c r="F258" s="179"/>
      <c r="G258" s="55" t="s">
        <v>1003</v>
      </c>
      <c r="H258" s="64">
        <v>2</v>
      </c>
      <c r="I258" s="71">
        <v>144</v>
      </c>
      <c r="J258" s="64">
        <f>H258*AO258</f>
        <v>0</v>
      </c>
      <c r="K258" s="64">
        <f>H258*AP258</f>
        <v>288</v>
      </c>
      <c r="L258" s="64">
        <f>H258*I258</f>
        <v>288</v>
      </c>
      <c r="M258" s="79"/>
      <c r="N258" s="19"/>
      <c r="Z258" s="35">
        <f>IF(AQ258="5",BJ258,0)</f>
        <v>0</v>
      </c>
      <c r="AB258" s="35">
        <f>IF(AQ258="1",BH258,0)</f>
        <v>0</v>
      </c>
      <c r="AC258" s="35">
        <f>IF(AQ258="1",BI258,0)</f>
        <v>0</v>
      </c>
      <c r="AD258" s="35">
        <f>IF(AQ258="7",BH258,0)</f>
        <v>0</v>
      </c>
      <c r="AE258" s="35">
        <f>IF(AQ258="7",BI258,0)</f>
        <v>288</v>
      </c>
      <c r="AF258" s="35">
        <f>IF(AQ258="2",BH258,0)</f>
        <v>0</v>
      </c>
      <c r="AG258" s="35">
        <f>IF(AQ258="2",BI258,0)</f>
        <v>0</v>
      </c>
      <c r="AH258" s="35">
        <f>IF(AQ258="0",BJ258,0)</f>
        <v>0</v>
      </c>
      <c r="AI258" s="83" t="s">
        <v>64</v>
      </c>
      <c r="AJ258" s="64">
        <f>IF(AN258=0,L258,0)</f>
        <v>0</v>
      </c>
      <c r="AK258" s="64">
        <f>IF(AN258=15,L258,0)</f>
        <v>0</v>
      </c>
      <c r="AL258" s="64">
        <f>IF(AN258=21,L258,0)</f>
        <v>288</v>
      </c>
      <c r="AN258" s="35">
        <v>21</v>
      </c>
      <c r="AO258" s="35">
        <f>I258*0</f>
        <v>0</v>
      </c>
      <c r="AP258" s="35">
        <f>I258*(1-0)</f>
        <v>144</v>
      </c>
      <c r="AQ258" s="84" t="s">
        <v>144</v>
      </c>
      <c r="AV258" s="35">
        <f>AW258+AX258</f>
        <v>288</v>
      </c>
      <c r="AW258" s="35">
        <f>H258*AO258</f>
        <v>0</v>
      </c>
      <c r="AX258" s="35">
        <f>H258*AP258</f>
        <v>288</v>
      </c>
      <c r="AY258" s="86" t="s">
        <v>1044</v>
      </c>
      <c r="AZ258" s="86" t="s">
        <v>1061</v>
      </c>
      <c r="BA258" s="83" t="s">
        <v>1078</v>
      </c>
      <c r="BC258" s="35">
        <f>AW258+AX258</f>
        <v>288</v>
      </c>
      <c r="BD258" s="35">
        <f>I258/(100-BE258)*100</f>
        <v>144</v>
      </c>
      <c r="BE258" s="35">
        <v>0</v>
      </c>
      <c r="BF258" s="35">
        <f>258</f>
        <v>258</v>
      </c>
      <c r="BH258" s="64">
        <f>H258*AO258</f>
        <v>0</v>
      </c>
      <c r="BI258" s="64">
        <f>H258*AP258</f>
        <v>288</v>
      </c>
      <c r="BJ258" s="64">
        <f>H258*I258</f>
        <v>288</v>
      </c>
      <c r="BK258" s="64" t="s">
        <v>1086</v>
      </c>
      <c r="BL258" s="35">
        <v>725</v>
      </c>
    </row>
    <row r="259" spans="1:64" x14ac:dyDescent="0.2">
      <c r="A259" s="19"/>
      <c r="C259" s="59" t="s">
        <v>521</v>
      </c>
      <c r="D259" s="180" t="s">
        <v>879</v>
      </c>
      <c r="E259" s="181"/>
      <c r="F259" s="181"/>
      <c r="G259" s="181"/>
      <c r="H259" s="181"/>
      <c r="I259" s="182"/>
      <c r="J259" s="181"/>
      <c r="K259" s="181"/>
      <c r="L259" s="181"/>
      <c r="M259" s="183"/>
      <c r="N259" s="19"/>
    </row>
    <row r="260" spans="1:64" x14ac:dyDescent="0.2">
      <c r="A260" s="49" t="s">
        <v>251</v>
      </c>
      <c r="B260" s="57" t="s">
        <v>64</v>
      </c>
      <c r="C260" s="57" t="s">
        <v>636</v>
      </c>
      <c r="D260" s="186" t="s">
        <v>880</v>
      </c>
      <c r="E260" s="187"/>
      <c r="F260" s="187"/>
      <c r="G260" s="57" t="s">
        <v>1004</v>
      </c>
      <c r="H260" s="65">
        <v>2</v>
      </c>
      <c r="I260" s="73">
        <v>466</v>
      </c>
      <c r="J260" s="65">
        <f>H260*AO260</f>
        <v>932</v>
      </c>
      <c r="K260" s="65">
        <f>H260*AP260</f>
        <v>0</v>
      </c>
      <c r="L260" s="65">
        <f>H260*I260</f>
        <v>932</v>
      </c>
      <c r="M260" s="81"/>
      <c r="N260" s="19"/>
      <c r="Z260" s="35">
        <f>IF(AQ260="5",BJ260,0)</f>
        <v>0</v>
      </c>
      <c r="AB260" s="35">
        <f>IF(AQ260="1",BH260,0)</f>
        <v>0</v>
      </c>
      <c r="AC260" s="35">
        <f>IF(AQ260="1",BI260,0)</f>
        <v>0</v>
      </c>
      <c r="AD260" s="35">
        <f>IF(AQ260="7",BH260,0)</f>
        <v>932</v>
      </c>
      <c r="AE260" s="35">
        <f>IF(AQ260="7",BI260,0)</f>
        <v>0</v>
      </c>
      <c r="AF260" s="35">
        <f>IF(AQ260="2",BH260,0)</f>
        <v>0</v>
      </c>
      <c r="AG260" s="35">
        <f>IF(AQ260="2",BI260,0)</f>
        <v>0</v>
      </c>
      <c r="AH260" s="35">
        <f>IF(AQ260="0",BJ260,0)</f>
        <v>0</v>
      </c>
      <c r="AI260" s="83" t="s">
        <v>64</v>
      </c>
      <c r="AJ260" s="65">
        <f>IF(AN260=0,L260,0)</f>
        <v>0</v>
      </c>
      <c r="AK260" s="65">
        <f>IF(AN260=15,L260,0)</f>
        <v>0</v>
      </c>
      <c r="AL260" s="65">
        <f>IF(AN260=21,L260,0)</f>
        <v>932</v>
      </c>
      <c r="AN260" s="35">
        <v>21</v>
      </c>
      <c r="AO260" s="35">
        <f>I260*1</f>
        <v>466</v>
      </c>
      <c r="AP260" s="35">
        <f>I260*(1-1)</f>
        <v>0</v>
      </c>
      <c r="AQ260" s="85" t="s">
        <v>144</v>
      </c>
      <c r="AV260" s="35">
        <f>AW260+AX260</f>
        <v>932</v>
      </c>
      <c r="AW260" s="35">
        <f>H260*AO260</f>
        <v>932</v>
      </c>
      <c r="AX260" s="35">
        <f>H260*AP260</f>
        <v>0</v>
      </c>
      <c r="AY260" s="86" t="s">
        <v>1044</v>
      </c>
      <c r="AZ260" s="86" t="s">
        <v>1061</v>
      </c>
      <c r="BA260" s="83" t="s">
        <v>1078</v>
      </c>
      <c r="BC260" s="35">
        <f>AW260+AX260</f>
        <v>932</v>
      </c>
      <c r="BD260" s="35">
        <f>I260/(100-BE260)*100</f>
        <v>466</v>
      </c>
      <c r="BE260" s="35">
        <v>0</v>
      </c>
      <c r="BF260" s="35">
        <f>260</f>
        <v>260</v>
      </c>
      <c r="BH260" s="65">
        <f>H260*AO260</f>
        <v>932</v>
      </c>
      <c r="BI260" s="65">
        <f>H260*AP260</f>
        <v>0</v>
      </c>
      <c r="BJ260" s="65">
        <f>H260*I260</f>
        <v>932</v>
      </c>
      <c r="BK260" s="65" t="s">
        <v>1001</v>
      </c>
      <c r="BL260" s="35">
        <v>725</v>
      </c>
    </row>
    <row r="261" spans="1:64" x14ac:dyDescent="0.2">
      <c r="A261" s="19"/>
      <c r="C261" s="59" t="s">
        <v>521</v>
      </c>
      <c r="D261" s="180" t="s">
        <v>880</v>
      </c>
      <c r="E261" s="181"/>
      <c r="F261" s="181"/>
      <c r="G261" s="181"/>
      <c r="H261" s="181"/>
      <c r="I261" s="182"/>
      <c r="J261" s="181"/>
      <c r="K261" s="181"/>
      <c r="L261" s="181"/>
      <c r="M261" s="183"/>
      <c r="N261" s="19"/>
    </row>
    <row r="262" spans="1:64" x14ac:dyDescent="0.2">
      <c r="A262" s="47" t="s">
        <v>252</v>
      </c>
      <c r="B262" s="55" t="s">
        <v>64</v>
      </c>
      <c r="C262" s="55" t="s">
        <v>559</v>
      </c>
      <c r="D262" s="178" t="s">
        <v>882</v>
      </c>
      <c r="E262" s="179"/>
      <c r="F262" s="179"/>
      <c r="G262" s="55" t="s">
        <v>1000</v>
      </c>
      <c r="H262" s="64">
        <v>16.940000000000001</v>
      </c>
      <c r="I262" s="71">
        <v>1</v>
      </c>
      <c r="J262" s="64">
        <f>H262*AO262</f>
        <v>0</v>
      </c>
      <c r="K262" s="64">
        <f>H262*AP262</f>
        <v>16.940000000000001</v>
      </c>
      <c r="L262" s="64">
        <f>H262*I262</f>
        <v>16.940000000000001</v>
      </c>
      <c r="M262" s="79" t="s">
        <v>1020</v>
      </c>
      <c r="N262" s="19"/>
      <c r="Z262" s="35">
        <f>IF(AQ262="5",BJ262,0)</f>
        <v>0</v>
      </c>
      <c r="AB262" s="35">
        <f>IF(AQ262="1",BH262,0)</f>
        <v>0</v>
      </c>
      <c r="AC262" s="35">
        <f>IF(AQ262="1",BI262,0)</f>
        <v>0</v>
      </c>
      <c r="AD262" s="35">
        <f>IF(AQ262="7",BH262,0)</f>
        <v>0</v>
      </c>
      <c r="AE262" s="35">
        <f>IF(AQ262="7",BI262,0)</f>
        <v>16.940000000000001</v>
      </c>
      <c r="AF262" s="35">
        <f>IF(AQ262="2",BH262,0)</f>
        <v>0</v>
      </c>
      <c r="AG262" s="35">
        <f>IF(AQ262="2",BI262,0)</f>
        <v>0</v>
      </c>
      <c r="AH262" s="35">
        <f>IF(AQ262="0",BJ262,0)</f>
        <v>0</v>
      </c>
      <c r="AI262" s="83" t="s">
        <v>64</v>
      </c>
      <c r="AJ262" s="64">
        <f>IF(AN262=0,L262,0)</f>
        <v>0</v>
      </c>
      <c r="AK262" s="64">
        <f>IF(AN262=15,L262,0)</f>
        <v>0</v>
      </c>
      <c r="AL262" s="64">
        <f>IF(AN262=21,L262,0)</f>
        <v>16.940000000000001</v>
      </c>
      <c r="AN262" s="35">
        <v>21</v>
      </c>
      <c r="AO262" s="35">
        <f>I262*0</f>
        <v>0</v>
      </c>
      <c r="AP262" s="35">
        <f>I262*(1-0)</f>
        <v>1</v>
      </c>
      <c r="AQ262" s="84" t="s">
        <v>144</v>
      </c>
      <c r="AV262" s="35">
        <f>AW262+AX262</f>
        <v>16.940000000000001</v>
      </c>
      <c r="AW262" s="35">
        <f>H262*AO262</f>
        <v>0</v>
      </c>
      <c r="AX262" s="35">
        <f>H262*AP262</f>
        <v>16.940000000000001</v>
      </c>
      <c r="AY262" s="86" t="s">
        <v>1044</v>
      </c>
      <c r="AZ262" s="86" t="s">
        <v>1061</v>
      </c>
      <c r="BA262" s="83" t="s">
        <v>1078</v>
      </c>
      <c r="BC262" s="35">
        <f>AW262+AX262</f>
        <v>16.940000000000001</v>
      </c>
      <c r="BD262" s="35">
        <f>I262/(100-BE262)*100</f>
        <v>1</v>
      </c>
      <c r="BE262" s="35">
        <v>0</v>
      </c>
      <c r="BF262" s="35">
        <f>262</f>
        <v>262</v>
      </c>
      <c r="BH262" s="64">
        <f>H262*AO262</f>
        <v>0</v>
      </c>
      <c r="BI262" s="64">
        <f>H262*AP262</f>
        <v>16.940000000000001</v>
      </c>
      <c r="BJ262" s="64">
        <f>H262*I262</f>
        <v>16.940000000000001</v>
      </c>
      <c r="BK262" s="64" t="s">
        <v>1086</v>
      </c>
      <c r="BL262" s="35">
        <v>725</v>
      </c>
    </row>
    <row r="263" spans="1:64" x14ac:dyDescent="0.2">
      <c r="A263" s="19"/>
      <c r="C263" s="59" t="s">
        <v>521</v>
      </c>
      <c r="D263" s="180" t="s">
        <v>883</v>
      </c>
      <c r="E263" s="181"/>
      <c r="F263" s="181"/>
      <c r="G263" s="181"/>
      <c r="H263" s="181"/>
      <c r="I263" s="182"/>
      <c r="J263" s="181"/>
      <c r="K263" s="181"/>
      <c r="L263" s="181"/>
      <c r="M263" s="183"/>
      <c r="N263" s="19"/>
    </row>
    <row r="264" spans="1:64" x14ac:dyDescent="0.2">
      <c r="A264" s="49" t="s">
        <v>253</v>
      </c>
      <c r="B264" s="57" t="s">
        <v>64</v>
      </c>
      <c r="C264" s="57" t="s">
        <v>637</v>
      </c>
      <c r="D264" s="186" t="s">
        <v>884</v>
      </c>
      <c r="E264" s="187"/>
      <c r="F264" s="187"/>
      <c r="G264" s="57" t="s">
        <v>1001</v>
      </c>
      <c r="H264" s="65">
        <v>5</v>
      </c>
      <c r="I264" s="73">
        <v>50</v>
      </c>
      <c r="J264" s="65">
        <f>H264*AO264</f>
        <v>250</v>
      </c>
      <c r="K264" s="65">
        <f>H264*AP264</f>
        <v>0</v>
      </c>
      <c r="L264" s="65">
        <f>H264*I264</f>
        <v>250</v>
      </c>
      <c r="M264" s="81"/>
      <c r="N264" s="19"/>
      <c r="Z264" s="35">
        <f>IF(AQ264="5",BJ264,0)</f>
        <v>0</v>
      </c>
      <c r="AB264" s="35">
        <f>IF(AQ264="1",BH264,0)</f>
        <v>0</v>
      </c>
      <c r="AC264" s="35">
        <f>IF(AQ264="1",BI264,0)</f>
        <v>0</v>
      </c>
      <c r="AD264" s="35">
        <f>IF(AQ264="7",BH264,0)</f>
        <v>250</v>
      </c>
      <c r="AE264" s="35">
        <f>IF(AQ264="7",BI264,0)</f>
        <v>0</v>
      </c>
      <c r="AF264" s="35">
        <f>IF(AQ264="2",BH264,0)</f>
        <v>0</v>
      </c>
      <c r="AG264" s="35">
        <f>IF(AQ264="2",BI264,0)</f>
        <v>0</v>
      </c>
      <c r="AH264" s="35">
        <f>IF(AQ264="0",BJ264,0)</f>
        <v>0</v>
      </c>
      <c r="AI264" s="83" t="s">
        <v>64</v>
      </c>
      <c r="AJ264" s="65">
        <f>IF(AN264=0,L264,0)</f>
        <v>0</v>
      </c>
      <c r="AK264" s="65">
        <f>IF(AN264=15,L264,0)</f>
        <v>0</v>
      </c>
      <c r="AL264" s="65">
        <f>IF(AN264=21,L264,0)</f>
        <v>250</v>
      </c>
      <c r="AN264" s="35">
        <v>21</v>
      </c>
      <c r="AO264" s="35">
        <f>I264*1</f>
        <v>50</v>
      </c>
      <c r="AP264" s="35">
        <f>I264*(1-1)</f>
        <v>0</v>
      </c>
      <c r="AQ264" s="85" t="s">
        <v>144</v>
      </c>
      <c r="AV264" s="35">
        <f>AW264+AX264</f>
        <v>250</v>
      </c>
      <c r="AW264" s="35">
        <f>H264*AO264</f>
        <v>250</v>
      </c>
      <c r="AX264" s="35">
        <f>H264*AP264</f>
        <v>0</v>
      </c>
      <c r="AY264" s="86" t="s">
        <v>1044</v>
      </c>
      <c r="AZ264" s="86" t="s">
        <v>1061</v>
      </c>
      <c r="BA264" s="83" t="s">
        <v>1078</v>
      </c>
      <c r="BC264" s="35">
        <f>AW264+AX264</f>
        <v>250</v>
      </c>
      <c r="BD264" s="35">
        <f>I264/(100-BE264)*100</f>
        <v>50</v>
      </c>
      <c r="BE264" s="35">
        <v>0</v>
      </c>
      <c r="BF264" s="35">
        <f>264</f>
        <v>264</v>
      </c>
      <c r="BH264" s="65">
        <f>H264*AO264</f>
        <v>250</v>
      </c>
      <c r="BI264" s="65">
        <f>H264*AP264</f>
        <v>0</v>
      </c>
      <c r="BJ264" s="65">
        <f>H264*I264</f>
        <v>250</v>
      </c>
      <c r="BK264" s="65" t="s">
        <v>1001</v>
      </c>
      <c r="BL264" s="35">
        <v>725</v>
      </c>
    </row>
    <row r="265" spans="1:64" x14ac:dyDescent="0.2">
      <c r="A265" s="19"/>
      <c r="C265" s="59" t="s">
        <v>521</v>
      </c>
      <c r="D265" s="180" t="s">
        <v>884</v>
      </c>
      <c r="E265" s="181"/>
      <c r="F265" s="181"/>
      <c r="G265" s="181"/>
      <c r="H265" s="181"/>
      <c r="I265" s="182"/>
      <c r="J265" s="181"/>
      <c r="K265" s="181"/>
      <c r="L265" s="181"/>
      <c r="M265" s="183"/>
      <c r="N265" s="19"/>
    </row>
    <row r="266" spans="1:64" x14ac:dyDescent="0.2">
      <c r="A266" s="46"/>
      <c r="B266" s="54" t="s">
        <v>64</v>
      </c>
      <c r="C266" s="54" t="s">
        <v>116</v>
      </c>
      <c r="D266" s="176" t="s">
        <v>135</v>
      </c>
      <c r="E266" s="177"/>
      <c r="F266" s="177"/>
      <c r="G266" s="61" t="s">
        <v>60</v>
      </c>
      <c r="H266" s="61" t="s">
        <v>60</v>
      </c>
      <c r="I266" s="70" t="s">
        <v>60</v>
      </c>
      <c r="J266" s="89">
        <f>SUM(J267:J291)</f>
        <v>172565</v>
      </c>
      <c r="K266" s="89">
        <f>SUM(K267:K291)</f>
        <v>6366.92</v>
      </c>
      <c r="L266" s="89">
        <f>SUM(L267:L291)</f>
        <v>178931.92</v>
      </c>
      <c r="M266" s="78"/>
      <c r="N266" s="19"/>
      <c r="AI266" s="83" t="s">
        <v>64</v>
      </c>
      <c r="AS266" s="89">
        <f>SUM(AJ267:AJ291)</f>
        <v>0</v>
      </c>
      <c r="AT266" s="89">
        <f>SUM(AK267:AK291)</f>
        <v>0</v>
      </c>
      <c r="AU266" s="89">
        <f>SUM(AL267:AL291)</f>
        <v>178931.92</v>
      </c>
    </row>
    <row r="267" spans="1:64" x14ac:dyDescent="0.2">
      <c r="A267" s="47" t="s">
        <v>254</v>
      </c>
      <c r="B267" s="55" t="s">
        <v>64</v>
      </c>
      <c r="C267" s="55" t="s">
        <v>638</v>
      </c>
      <c r="D267" s="178" t="s">
        <v>885</v>
      </c>
      <c r="E267" s="179"/>
      <c r="F267" s="179"/>
      <c r="G267" s="55" t="s">
        <v>1002</v>
      </c>
      <c r="H267" s="64">
        <v>1</v>
      </c>
      <c r="I267" s="71">
        <v>504</v>
      </c>
      <c r="J267" s="64">
        <f>H267*AO267</f>
        <v>0</v>
      </c>
      <c r="K267" s="64">
        <f>H267*AP267</f>
        <v>504</v>
      </c>
      <c r="L267" s="64">
        <f>H267*I267</f>
        <v>504</v>
      </c>
      <c r="M267" s="79"/>
      <c r="N267" s="19"/>
      <c r="Z267" s="35">
        <f>IF(AQ267="5",BJ267,0)</f>
        <v>0</v>
      </c>
      <c r="AB267" s="35">
        <f>IF(AQ267="1",BH267,0)</f>
        <v>0</v>
      </c>
      <c r="AC267" s="35">
        <f>IF(AQ267="1",BI267,0)</f>
        <v>0</v>
      </c>
      <c r="AD267" s="35">
        <f>IF(AQ267="7",BH267,0)</f>
        <v>0</v>
      </c>
      <c r="AE267" s="35">
        <f>IF(AQ267="7",BI267,0)</f>
        <v>504</v>
      </c>
      <c r="AF267" s="35">
        <f>IF(AQ267="2",BH267,0)</f>
        <v>0</v>
      </c>
      <c r="AG267" s="35">
        <f>IF(AQ267="2",BI267,0)</f>
        <v>0</v>
      </c>
      <c r="AH267" s="35">
        <f>IF(AQ267="0",BJ267,0)</f>
        <v>0</v>
      </c>
      <c r="AI267" s="83" t="s">
        <v>64</v>
      </c>
      <c r="AJ267" s="64">
        <f>IF(AN267=0,L267,0)</f>
        <v>0</v>
      </c>
      <c r="AK267" s="64">
        <f>IF(AN267=15,L267,0)</f>
        <v>0</v>
      </c>
      <c r="AL267" s="64">
        <f>IF(AN267=21,L267,0)</f>
        <v>504</v>
      </c>
      <c r="AN267" s="35">
        <v>21</v>
      </c>
      <c r="AO267" s="35">
        <f>I267*0</f>
        <v>0</v>
      </c>
      <c r="AP267" s="35">
        <f>I267*(1-0)</f>
        <v>504</v>
      </c>
      <c r="AQ267" s="84" t="s">
        <v>144</v>
      </c>
      <c r="AV267" s="35">
        <f>AW267+AX267</f>
        <v>504</v>
      </c>
      <c r="AW267" s="35">
        <f>H267*AO267</f>
        <v>0</v>
      </c>
      <c r="AX267" s="35">
        <f>H267*AP267</f>
        <v>504</v>
      </c>
      <c r="AY267" s="86" t="s">
        <v>1045</v>
      </c>
      <c r="AZ267" s="86" t="s">
        <v>1062</v>
      </c>
      <c r="BA267" s="83" t="s">
        <v>1078</v>
      </c>
      <c r="BC267" s="35">
        <f>AW267+AX267</f>
        <v>504</v>
      </c>
      <c r="BD267" s="35">
        <f>I267/(100-BE267)*100</f>
        <v>504</v>
      </c>
      <c r="BE267" s="35">
        <v>0</v>
      </c>
      <c r="BF267" s="35">
        <f>267</f>
        <v>267</v>
      </c>
      <c r="BH267" s="64">
        <f>H267*AO267</f>
        <v>0</v>
      </c>
      <c r="BI267" s="64">
        <f>H267*AP267</f>
        <v>504</v>
      </c>
      <c r="BJ267" s="64">
        <f>H267*I267</f>
        <v>504</v>
      </c>
      <c r="BK267" s="64" t="s">
        <v>1086</v>
      </c>
      <c r="BL267" s="35">
        <v>741</v>
      </c>
    </row>
    <row r="268" spans="1:64" x14ac:dyDescent="0.2">
      <c r="A268" s="19"/>
      <c r="C268" s="59" t="s">
        <v>521</v>
      </c>
      <c r="D268" s="180" t="s">
        <v>885</v>
      </c>
      <c r="E268" s="181"/>
      <c r="F268" s="181"/>
      <c r="G268" s="181"/>
      <c r="H268" s="181"/>
      <c r="I268" s="182"/>
      <c r="J268" s="181"/>
      <c r="K268" s="181"/>
      <c r="L268" s="181"/>
      <c r="M268" s="183"/>
      <c r="N268" s="19"/>
    </row>
    <row r="269" spans="1:64" x14ac:dyDescent="0.2">
      <c r="A269" s="49" t="s">
        <v>255</v>
      </c>
      <c r="B269" s="57" t="s">
        <v>64</v>
      </c>
      <c r="C269" s="57" t="s">
        <v>639</v>
      </c>
      <c r="D269" s="186" t="s">
        <v>886</v>
      </c>
      <c r="E269" s="187"/>
      <c r="F269" s="187"/>
      <c r="G269" s="57" t="s">
        <v>1004</v>
      </c>
      <c r="H269" s="65">
        <v>1</v>
      </c>
      <c r="I269" s="73">
        <v>5760</v>
      </c>
      <c r="J269" s="65">
        <f>H269*AO269</f>
        <v>5760</v>
      </c>
      <c r="K269" s="65">
        <f>H269*AP269</f>
        <v>0</v>
      </c>
      <c r="L269" s="65">
        <f>H269*I269</f>
        <v>5760</v>
      </c>
      <c r="M269" s="81"/>
      <c r="N269" s="19"/>
      <c r="Z269" s="35">
        <f>IF(AQ269="5",BJ269,0)</f>
        <v>0</v>
      </c>
      <c r="AB269" s="35">
        <f>IF(AQ269="1",BH269,0)</f>
        <v>0</v>
      </c>
      <c r="AC269" s="35">
        <f>IF(AQ269="1",BI269,0)</f>
        <v>0</v>
      </c>
      <c r="AD269" s="35">
        <f>IF(AQ269="7",BH269,0)</f>
        <v>5760</v>
      </c>
      <c r="AE269" s="35">
        <f>IF(AQ269="7",BI269,0)</f>
        <v>0</v>
      </c>
      <c r="AF269" s="35">
        <f>IF(AQ269="2",BH269,0)</f>
        <v>0</v>
      </c>
      <c r="AG269" s="35">
        <f>IF(AQ269="2",BI269,0)</f>
        <v>0</v>
      </c>
      <c r="AH269" s="35">
        <f>IF(AQ269="0",BJ269,0)</f>
        <v>0</v>
      </c>
      <c r="AI269" s="83" t="s">
        <v>64</v>
      </c>
      <c r="AJ269" s="65">
        <f>IF(AN269=0,L269,0)</f>
        <v>0</v>
      </c>
      <c r="AK269" s="65">
        <f>IF(AN269=15,L269,0)</f>
        <v>0</v>
      </c>
      <c r="AL269" s="65">
        <f>IF(AN269=21,L269,0)</f>
        <v>5760</v>
      </c>
      <c r="AN269" s="35">
        <v>21</v>
      </c>
      <c r="AO269" s="35">
        <f>I269*1</f>
        <v>5760</v>
      </c>
      <c r="AP269" s="35">
        <f>I269*(1-1)</f>
        <v>0</v>
      </c>
      <c r="AQ269" s="85" t="s">
        <v>144</v>
      </c>
      <c r="AV269" s="35">
        <f>AW269+AX269</f>
        <v>5760</v>
      </c>
      <c r="AW269" s="35">
        <f>H269*AO269</f>
        <v>5760</v>
      </c>
      <c r="AX269" s="35">
        <f>H269*AP269</f>
        <v>0</v>
      </c>
      <c r="AY269" s="86" t="s">
        <v>1045</v>
      </c>
      <c r="AZ269" s="86" t="s">
        <v>1062</v>
      </c>
      <c r="BA269" s="83" t="s">
        <v>1078</v>
      </c>
      <c r="BC269" s="35">
        <f>AW269+AX269</f>
        <v>5760</v>
      </c>
      <c r="BD269" s="35">
        <f>I269/(100-BE269)*100</f>
        <v>5760</v>
      </c>
      <c r="BE269" s="35">
        <v>0</v>
      </c>
      <c r="BF269" s="35">
        <f>269</f>
        <v>269</v>
      </c>
      <c r="BH269" s="65">
        <f>H269*AO269</f>
        <v>5760</v>
      </c>
      <c r="BI269" s="65">
        <f>H269*AP269</f>
        <v>0</v>
      </c>
      <c r="BJ269" s="65">
        <f>H269*I269</f>
        <v>5760</v>
      </c>
      <c r="BK269" s="65" t="s">
        <v>1001</v>
      </c>
      <c r="BL269" s="35">
        <v>741</v>
      </c>
    </row>
    <row r="270" spans="1:64" x14ac:dyDescent="0.2">
      <c r="A270" s="19"/>
      <c r="C270" s="59" t="s">
        <v>521</v>
      </c>
      <c r="D270" s="180" t="s">
        <v>886</v>
      </c>
      <c r="E270" s="181"/>
      <c r="F270" s="181"/>
      <c r="G270" s="181"/>
      <c r="H270" s="181"/>
      <c r="I270" s="182"/>
      <c r="J270" s="181"/>
      <c r="K270" s="181"/>
      <c r="L270" s="181"/>
      <c r="M270" s="183"/>
      <c r="N270" s="19"/>
    </row>
    <row r="271" spans="1:64" x14ac:dyDescent="0.2">
      <c r="A271" s="47" t="s">
        <v>256</v>
      </c>
      <c r="B271" s="55" t="s">
        <v>64</v>
      </c>
      <c r="C271" s="55" t="s">
        <v>640</v>
      </c>
      <c r="D271" s="178" t="s">
        <v>887</v>
      </c>
      <c r="E271" s="179"/>
      <c r="F271" s="179"/>
      <c r="G271" s="55" t="s">
        <v>1002</v>
      </c>
      <c r="H271" s="64">
        <v>1</v>
      </c>
      <c r="I271" s="71">
        <v>396</v>
      </c>
      <c r="J271" s="64">
        <f>H271*AO271</f>
        <v>0</v>
      </c>
      <c r="K271" s="64">
        <f>H271*AP271</f>
        <v>396</v>
      </c>
      <c r="L271" s="64">
        <f>H271*I271</f>
        <v>396</v>
      </c>
      <c r="M271" s="79"/>
      <c r="N271" s="19"/>
      <c r="Z271" s="35">
        <f>IF(AQ271="5",BJ271,0)</f>
        <v>0</v>
      </c>
      <c r="AB271" s="35">
        <f>IF(AQ271="1",BH271,0)</f>
        <v>0</v>
      </c>
      <c r="AC271" s="35">
        <f>IF(AQ271="1",BI271,0)</f>
        <v>0</v>
      </c>
      <c r="AD271" s="35">
        <f>IF(AQ271="7",BH271,0)</f>
        <v>0</v>
      </c>
      <c r="AE271" s="35">
        <f>IF(AQ271="7",BI271,0)</f>
        <v>396</v>
      </c>
      <c r="AF271" s="35">
        <f>IF(AQ271="2",BH271,0)</f>
        <v>0</v>
      </c>
      <c r="AG271" s="35">
        <f>IF(AQ271="2",BI271,0)</f>
        <v>0</v>
      </c>
      <c r="AH271" s="35">
        <f>IF(AQ271="0",BJ271,0)</f>
        <v>0</v>
      </c>
      <c r="AI271" s="83" t="s">
        <v>64</v>
      </c>
      <c r="AJ271" s="64">
        <f>IF(AN271=0,L271,0)</f>
        <v>0</v>
      </c>
      <c r="AK271" s="64">
        <f>IF(AN271=15,L271,0)</f>
        <v>0</v>
      </c>
      <c r="AL271" s="64">
        <f>IF(AN271=21,L271,0)</f>
        <v>396</v>
      </c>
      <c r="AN271" s="35">
        <v>21</v>
      </c>
      <c r="AO271" s="35">
        <f>I271*0</f>
        <v>0</v>
      </c>
      <c r="AP271" s="35">
        <f>I271*(1-0)</f>
        <v>396</v>
      </c>
      <c r="AQ271" s="84" t="s">
        <v>144</v>
      </c>
      <c r="AV271" s="35">
        <f>AW271+AX271</f>
        <v>396</v>
      </c>
      <c r="AW271" s="35">
        <f>H271*AO271</f>
        <v>0</v>
      </c>
      <c r="AX271" s="35">
        <f>H271*AP271</f>
        <v>396</v>
      </c>
      <c r="AY271" s="86" t="s">
        <v>1045</v>
      </c>
      <c r="AZ271" s="86" t="s">
        <v>1062</v>
      </c>
      <c r="BA271" s="83" t="s">
        <v>1078</v>
      </c>
      <c r="BC271" s="35">
        <f>AW271+AX271</f>
        <v>396</v>
      </c>
      <c r="BD271" s="35">
        <f>I271/(100-BE271)*100</f>
        <v>396</v>
      </c>
      <c r="BE271" s="35">
        <v>0</v>
      </c>
      <c r="BF271" s="35">
        <f>271</f>
        <v>271</v>
      </c>
      <c r="BH271" s="64">
        <f>H271*AO271</f>
        <v>0</v>
      </c>
      <c r="BI271" s="64">
        <f>H271*AP271</f>
        <v>396</v>
      </c>
      <c r="BJ271" s="64">
        <f>H271*I271</f>
        <v>396</v>
      </c>
      <c r="BK271" s="64" t="s">
        <v>1086</v>
      </c>
      <c r="BL271" s="35">
        <v>741</v>
      </c>
    </row>
    <row r="272" spans="1:64" x14ac:dyDescent="0.2">
      <c r="A272" s="19"/>
      <c r="C272" s="59" t="s">
        <v>521</v>
      </c>
      <c r="D272" s="180" t="s">
        <v>887</v>
      </c>
      <c r="E272" s="181"/>
      <c r="F272" s="181"/>
      <c r="G272" s="181"/>
      <c r="H272" s="181"/>
      <c r="I272" s="182"/>
      <c r="J272" s="181"/>
      <c r="K272" s="181"/>
      <c r="L272" s="181"/>
      <c r="M272" s="183"/>
      <c r="N272" s="19"/>
    </row>
    <row r="273" spans="1:64" x14ac:dyDescent="0.2">
      <c r="A273" s="49" t="s">
        <v>257</v>
      </c>
      <c r="B273" s="57" t="s">
        <v>64</v>
      </c>
      <c r="C273" s="57" t="s">
        <v>641</v>
      </c>
      <c r="D273" s="186" t="s">
        <v>888</v>
      </c>
      <c r="E273" s="187"/>
      <c r="F273" s="187"/>
      <c r="G273" s="57" t="s">
        <v>1001</v>
      </c>
      <c r="H273" s="65">
        <v>5</v>
      </c>
      <c r="I273" s="73">
        <v>7</v>
      </c>
      <c r="J273" s="65">
        <f>H273*AO273</f>
        <v>35</v>
      </c>
      <c r="K273" s="65">
        <f>H273*AP273</f>
        <v>0</v>
      </c>
      <c r="L273" s="65">
        <f>H273*I273</f>
        <v>35</v>
      </c>
      <c r="M273" s="81"/>
      <c r="N273" s="19"/>
      <c r="Z273" s="35">
        <f>IF(AQ273="5",BJ273,0)</f>
        <v>0</v>
      </c>
      <c r="AB273" s="35">
        <f>IF(AQ273="1",BH273,0)</f>
        <v>0</v>
      </c>
      <c r="AC273" s="35">
        <f>IF(AQ273="1",BI273,0)</f>
        <v>0</v>
      </c>
      <c r="AD273" s="35">
        <f>IF(AQ273="7",BH273,0)</f>
        <v>35</v>
      </c>
      <c r="AE273" s="35">
        <f>IF(AQ273="7",BI273,0)</f>
        <v>0</v>
      </c>
      <c r="AF273" s="35">
        <f>IF(AQ273="2",BH273,0)</f>
        <v>0</v>
      </c>
      <c r="AG273" s="35">
        <f>IF(AQ273="2",BI273,0)</f>
        <v>0</v>
      </c>
      <c r="AH273" s="35">
        <f>IF(AQ273="0",BJ273,0)</f>
        <v>0</v>
      </c>
      <c r="AI273" s="83" t="s">
        <v>64</v>
      </c>
      <c r="AJ273" s="65">
        <f>IF(AN273=0,L273,0)</f>
        <v>0</v>
      </c>
      <c r="AK273" s="65">
        <f>IF(AN273=15,L273,0)</f>
        <v>0</v>
      </c>
      <c r="AL273" s="65">
        <f>IF(AN273=21,L273,0)</f>
        <v>35</v>
      </c>
      <c r="AN273" s="35">
        <v>21</v>
      </c>
      <c r="AO273" s="35">
        <f>I273*1</f>
        <v>7</v>
      </c>
      <c r="AP273" s="35">
        <f>I273*(1-1)</f>
        <v>0</v>
      </c>
      <c r="AQ273" s="85" t="s">
        <v>144</v>
      </c>
      <c r="AV273" s="35">
        <f>AW273+AX273</f>
        <v>35</v>
      </c>
      <c r="AW273" s="35">
        <f>H273*AO273</f>
        <v>35</v>
      </c>
      <c r="AX273" s="35">
        <f>H273*AP273</f>
        <v>0</v>
      </c>
      <c r="AY273" s="86" t="s">
        <v>1045</v>
      </c>
      <c r="AZ273" s="86" t="s">
        <v>1062</v>
      </c>
      <c r="BA273" s="83" t="s">
        <v>1078</v>
      </c>
      <c r="BC273" s="35">
        <f>AW273+AX273</f>
        <v>35</v>
      </c>
      <c r="BD273" s="35">
        <f>I273/(100-BE273)*100</f>
        <v>7.0000000000000009</v>
      </c>
      <c r="BE273" s="35">
        <v>0</v>
      </c>
      <c r="BF273" s="35">
        <f>273</f>
        <v>273</v>
      </c>
      <c r="BH273" s="65">
        <f>H273*AO273</f>
        <v>35</v>
      </c>
      <c r="BI273" s="65">
        <f>H273*AP273</f>
        <v>0</v>
      </c>
      <c r="BJ273" s="65">
        <f>H273*I273</f>
        <v>35</v>
      </c>
      <c r="BK273" s="65" t="s">
        <v>1001</v>
      </c>
      <c r="BL273" s="35">
        <v>741</v>
      </c>
    </row>
    <row r="274" spans="1:64" x14ac:dyDescent="0.2">
      <c r="A274" s="19"/>
      <c r="C274" s="59" t="s">
        <v>521</v>
      </c>
      <c r="D274" s="180" t="s">
        <v>888</v>
      </c>
      <c r="E274" s="181"/>
      <c r="F274" s="181"/>
      <c r="G274" s="181"/>
      <c r="H274" s="181"/>
      <c r="I274" s="182"/>
      <c r="J274" s="181"/>
      <c r="K274" s="181"/>
      <c r="L274" s="181"/>
      <c r="M274" s="183"/>
      <c r="N274" s="19"/>
    </row>
    <row r="275" spans="1:64" x14ac:dyDescent="0.2">
      <c r="A275" s="47" t="s">
        <v>258</v>
      </c>
      <c r="B275" s="55" t="s">
        <v>64</v>
      </c>
      <c r="C275" s="55" t="s">
        <v>642</v>
      </c>
      <c r="D275" s="178" t="s">
        <v>881</v>
      </c>
      <c r="E275" s="179"/>
      <c r="F275" s="179"/>
      <c r="G275" s="55" t="s">
        <v>1002</v>
      </c>
      <c r="H275" s="64">
        <v>5</v>
      </c>
      <c r="I275" s="71">
        <v>504</v>
      </c>
      <c r="J275" s="64">
        <f>H275*AO275</f>
        <v>0</v>
      </c>
      <c r="K275" s="64">
        <f>H275*AP275</f>
        <v>2520</v>
      </c>
      <c r="L275" s="64">
        <f>H275*I275</f>
        <v>2520</v>
      </c>
      <c r="M275" s="79"/>
      <c r="N275" s="19"/>
      <c r="Z275" s="35">
        <f>IF(AQ275="5",BJ275,0)</f>
        <v>0</v>
      </c>
      <c r="AB275" s="35">
        <f>IF(AQ275="1",BH275,0)</f>
        <v>0</v>
      </c>
      <c r="AC275" s="35">
        <f>IF(AQ275="1",BI275,0)</f>
        <v>0</v>
      </c>
      <c r="AD275" s="35">
        <f>IF(AQ275="7",BH275,0)</f>
        <v>0</v>
      </c>
      <c r="AE275" s="35">
        <f>IF(AQ275="7",BI275,0)</f>
        <v>2520</v>
      </c>
      <c r="AF275" s="35">
        <f>IF(AQ275="2",BH275,0)</f>
        <v>0</v>
      </c>
      <c r="AG275" s="35">
        <f>IF(AQ275="2",BI275,0)</f>
        <v>0</v>
      </c>
      <c r="AH275" s="35">
        <f>IF(AQ275="0",BJ275,0)</f>
        <v>0</v>
      </c>
      <c r="AI275" s="83" t="s">
        <v>64</v>
      </c>
      <c r="AJ275" s="64">
        <f>IF(AN275=0,L275,0)</f>
        <v>0</v>
      </c>
      <c r="AK275" s="64">
        <f>IF(AN275=15,L275,0)</f>
        <v>0</v>
      </c>
      <c r="AL275" s="64">
        <f>IF(AN275=21,L275,0)</f>
        <v>2520</v>
      </c>
      <c r="AN275" s="35">
        <v>21</v>
      </c>
      <c r="AO275" s="35">
        <f>I275*0</f>
        <v>0</v>
      </c>
      <c r="AP275" s="35">
        <f>I275*(1-0)</f>
        <v>504</v>
      </c>
      <c r="AQ275" s="84" t="s">
        <v>144</v>
      </c>
      <c r="AV275" s="35">
        <f>AW275+AX275</f>
        <v>2520</v>
      </c>
      <c r="AW275" s="35">
        <f>H275*AO275</f>
        <v>0</v>
      </c>
      <c r="AX275" s="35">
        <f>H275*AP275</f>
        <v>2520</v>
      </c>
      <c r="AY275" s="86" t="s">
        <v>1045</v>
      </c>
      <c r="AZ275" s="86" t="s">
        <v>1062</v>
      </c>
      <c r="BA275" s="83" t="s">
        <v>1078</v>
      </c>
      <c r="BC275" s="35">
        <f>AW275+AX275</f>
        <v>2520</v>
      </c>
      <c r="BD275" s="35">
        <f>I275/(100-BE275)*100</f>
        <v>504</v>
      </c>
      <c r="BE275" s="35">
        <v>0</v>
      </c>
      <c r="BF275" s="35">
        <f>275</f>
        <v>275</v>
      </c>
      <c r="BH275" s="64">
        <f>H275*AO275</f>
        <v>0</v>
      </c>
      <c r="BI275" s="64">
        <f>H275*AP275</f>
        <v>2520</v>
      </c>
      <c r="BJ275" s="64">
        <f>H275*I275</f>
        <v>2520</v>
      </c>
      <c r="BK275" s="64" t="s">
        <v>1086</v>
      </c>
      <c r="BL275" s="35">
        <v>741</v>
      </c>
    </row>
    <row r="276" spans="1:64" x14ac:dyDescent="0.2">
      <c r="A276" s="19"/>
      <c r="C276" s="59" t="s">
        <v>521</v>
      </c>
      <c r="D276" s="180" t="s">
        <v>881</v>
      </c>
      <c r="E276" s="181"/>
      <c r="F276" s="181"/>
      <c r="G276" s="181"/>
      <c r="H276" s="181"/>
      <c r="I276" s="182"/>
      <c r="J276" s="181"/>
      <c r="K276" s="181"/>
      <c r="L276" s="181"/>
      <c r="M276" s="183"/>
      <c r="N276" s="19"/>
    </row>
    <row r="277" spans="1:64" x14ac:dyDescent="0.2">
      <c r="A277" s="49" t="s">
        <v>259</v>
      </c>
      <c r="B277" s="57" t="s">
        <v>64</v>
      </c>
      <c r="C277" s="57" t="s">
        <v>643</v>
      </c>
      <c r="D277" s="186" t="s">
        <v>889</v>
      </c>
      <c r="E277" s="187"/>
      <c r="F277" s="187"/>
      <c r="G277" s="57" t="s">
        <v>1005</v>
      </c>
      <c r="H277" s="65">
        <v>4</v>
      </c>
      <c r="I277" s="73">
        <v>9</v>
      </c>
      <c r="J277" s="65">
        <f>H277*AO277</f>
        <v>36</v>
      </c>
      <c r="K277" s="65">
        <f>H277*AP277</f>
        <v>0</v>
      </c>
      <c r="L277" s="65">
        <f>H277*I277</f>
        <v>36</v>
      </c>
      <c r="M277" s="81"/>
      <c r="N277" s="19"/>
      <c r="Z277" s="35">
        <f>IF(AQ277="5",BJ277,0)</f>
        <v>0</v>
      </c>
      <c r="AB277" s="35">
        <f>IF(AQ277="1",BH277,0)</f>
        <v>0</v>
      </c>
      <c r="AC277" s="35">
        <f>IF(AQ277="1",BI277,0)</f>
        <v>0</v>
      </c>
      <c r="AD277" s="35">
        <f>IF(AQ277="7",BH277,0)</f>
        <v>36</v>
      </c>
      <c r="AE277" s="35">
        <f>IF(AQ277="7",BI277,0)</f>
        <v>0</v>
      </c>
      <c r="AF277" s="35">
        <f>IF(AQ277="2",BH277,0)</f>
        <v>0</v>
      </c>
      <c r="AG277" s="35">
        <f>IF(AQ277="2",BI277,0)</f>
        <v>0</v>
      </c>
      <c r="AH277" s="35">
        <f>IF(AQ277="0",BJ277,0)</f>
        <v>0</v>
      </c>
      <c r="AI277" s="83" t="s">
        <v>64</v>
      </c>
      <c r="AJ277" s="65">
        <f>IF(AN277=0,L277,0)</f>
        <v>0</v>
      </c>
      <c r="AK277" s="65">
        <f>IF(AN277=15,L277,0)</f>
        <v>0</v>
      </c>
      <c r="AL277" s="65">
        <f>IF(AN277=21,L277,0)</f>
        <v>36</v>
      </c>
      <c r="AN277" s="35">
        <v>21</v>
      </c>
      <c r="AO277" s="35">
        <f>I277*1</f>
        <v>9</v>
      </c>
      <c r="AP277" s="35">
        <f>I277*(1-1)</f>
        <v>0</v>
      </c>
      <c r="AQ277" s="85" t="s">
        <v>144</v>
      </c>
      <c r="AV277" s="35">
        <f>AW277+AX277</f>
        <v>36</v>
      </c>
      <c r="AW277" s="35">
        <f>H277*AO277</f>
        <v>36</v>
      </c>
      <c r="AX277" s="35">
        <f>H277*AP277</f>
        <v>0</v>
      </c>
      <c r="AY277" s="86" t="s">
        <v>1045</v>
      </c>
      <c r="AZ277" s="86" t="s">
        <v>1062</v>
      </c>
      <c r="BA277" s="83" t="s">
        <v>1078</v>
      </c>
      <c r="BC277" s="35">
        <f>AW277+AX277</f>
        <v>36</v>
      </c>
      <c r="BD277" s="35">
        <f>I277/(100-BE277)*100</f>
        <v>9</v>
      </c>
      <c r="BE277" s="35">
        <v>0</v>
      </c>
      <c r="BF277" s="35">
        <f>277</f>
        <v>277</v>
      </c>
      <c r="BH277" s="65">
        <f>H277*AO277</f>
        <v>36</v>
      </c>
      <c r="BI277" s="65">
        <f>H277*AP277</f>
        <v>0</v>
      </c>
      <c r="BJ277" s="65">
        <f>H277*I277</f>
        <v>36</v>
      </c>
      <c r="BK277" s="65" t="s">
        <v>1001</v>
      </c>
      <c r="BL277" s="35">
        <v>741</v>
      </c>
    </row>
    <row r="278" spans="1:64" x14ac:dyDescent="0.2">
      <c r="A278" s="19"/>
      <c r="C278" s="59" t="s">
        <v>521</v>
      </c>
      <c r="D278" s="180" t="s">
        <v>889</v>
      </c>
      <c r="E278" s="181"/>
      <c r="F278" s="181"/>
      <c r="G278" s="181"/>
      <c r="H278" s="181"/>
      <c r="I278" s="182"/>
      <c r="J278" s="181"/>
      <c r="K278" s="181"/>
      <c r="L278" s="181"/>
      <c r="M278" s="183"/>
      <c r="N278" s="19"/>
    </row>
    <row r="279" spans="1:64" x14ac:dyDescent="0.2">
      <c r="A279" s="47" t="s">
        <v>260</v>
      </c>
      <c r="B279" s="55" t="s">
        <v>64</v>
      </c>
      <c r="C279" s="55" t="s">
        <v>644</v>
      </c>
      <c r="D279" s="178" t="s">
        <v>890</v>
      </c>
      <c r="E279" s="179"/>
      <c r="F279" s="179"/>
      <c r="G279" s="55" t="s">
        <v>1002</v>
      </c>
      <c r="H279" s="64">
        <v>4</v>
      </c>
      <c r="I279" s="71">
        <v>468</v>
      </c>
      <c r="J279" s="64">
        <f>H279*AO279</f>
        <v>0</v>
      </c>
      <c r="K279" s="64">
        <f>H279*AP279</f>
        <v>1872</v>
      </c>
      <c r="L279" s="64">
        <f>H279*I279</f>
        <v>1872</v>
      </c>
      <c r="M279" s="79"/>
      <c r="N279" s="19"/>
      <c r="Z279" s="35">
        <f>IF(AQ279="5",BJ279,0)</f>
        <v>0</v>
      </c>
      <c r="AB279" s="35">
        <f>IF(AQ279="1",BH279,0)</f>
        <v>0</v>
      </c>
      <c r="AC279" s="35">
        <f>IF(AQ279="1",BI279,0)</f>
        <v>0</v>
      </c>
      <c r="AD279" s="35">
        <f>IF(AQ279="7",BH279,0)</f>
        <v>0</v>
      </c>
      <c r="AE279" s="35">
        <f>IF(AQ279="7",BI279,0)</f>
        <v>1872</v>
      </c>
      <c r="AF279" s="35">
        <f>IF(AQ279="2",BH279,0)</f>
        <v>0</v>
      </c>
      <c r="AG279" s="35">
        <f>IF(AQ279="2",BI279,0)</f>
        <v>0</v>
      </c>
      <c r="AH279" s="35">
        <f>IF(AQ279="0",BJ279,0)</f>
        <v>0</v>
      </c>
      <c r="AI279" s="83" t="s">
        <v>64</v>
      </c>
      <c r="AJ279" s="64">
        <f>IF(AN279=0,L279,0)</f>
        <v>0</v>
      </c>
      <c r="AK279" s="64">
        <f>IF(AN279=15,L279,0)</f>
        <v>0</v>
      </c>
      <c r="AL279" s="64">
        <f>IF(AN279=21,L279,0)</f>
        <v>1872</v>
      </c>
      <c r="AN279" s="35">
        <v>21</v>
      </c>
      <c r="AO279" s="35">
        <f>I279*0</f>
        <v>0</v>
      </c>
      <c r="AP279" s="35">
        <f>I279*(1-0)</f>
        <v>468</v>
      </c>
      <c r="AQ279" s="84" t="s">
        <v>144</v>
      </c>
      <c r="AV279" s="35">
        <f>AW279+AX279</f>
        <v>1872</v>
      </c>
      <c r="AW279" s="35">
        <f>H279*AO279</f>
        <v>0</v>
      </c>
      <c r="AX279" s="35">
        <f>H279*AP279</f>
        <v>1872</v>
      </c>
      <c r="AY279" s="86" t="s">
        <v>1045</v>
      </c>
      <c r="AZ279" s="86" t="s">
        <v>1062</v>
      </c>
      <c r="BA279" s="83" t="s">
        <v>1078</v>
      </c>
      <c r="BC279" s="35">
        <f>AW279+AX279</f>
        <v>1872</v>
      </c>
      <c r="BD279" s="35">
        <f>I279/(100-BE279)*100</f>
        <v>468</v>
      </c>
      <c r="BE279" s="35">
        <v>0</v>
      </c>
      <c r="BF279" s="35">
        <f>279</f>
        <v>279</v>
      </c>
      <c r="BH279" s="64">
        <f>H279*AO279</f>
        <v>0</v>
      </c>
      <c r="BI279" s="64">
        <f>H279*AP279</f>
        <v>1872</v>
      </c>
      <c r="BJ279" s="64">
        <f>H279*I279</f>
        <v>1872</v>
      </c>
      <c r="BK279" s="64" t="s">
        <v>1086</v>
      </c>
      <c r="BL279" s="35">
        <v>741</v>
      </c>
    </row>
    <row r="280" spans="1:64" x14ac:dyDescent="0.2">
      <c r="A280" s="19"/>
      <c r="C280" s="59" t="s">
        <v>521</v>
      </c>
      <c r="D280" s="180" t="s">
        <v>890</v>
      </c>
      <c r="E280" s="181"/>
      <c r="F280" s="181"/>
      <c r="G280" s="181"/>
      <c r="H280" s="181"/>
      <c r="I280" s="182"/>
      <c r="J280" s="181"/>
      <c r="K280" s="181"/>
      <c r="L280" s="181"/>
      <c r="M280" s="183"/>
      <c r="N280" s="19"/>
    </row>
    <row r="281" spans="1:64" x14ac:dyDescent="0.2">
      <c r="A281" s="49" t="s">
        <v>261</v>
      </c>
      <c r="B281" s="57" t="s">
        <v>64</v>
      </c>
      <c r="C281" s="57" t="s">
        <v>645</v>
      </c>
      <c r="D281" s="186" t="s">
        <v>891</v>
      </c>
      <c r="E281" s="187"/>
      <c r="F281" s="187"/>
      <c r="G281" s="57" t="s">
        <v>1001</v>
      </c>
      <c r="H281" s="65">
        <v>2</v>
      </c>
      <c r="I281" s="73">
        <v>32</v>
      </c>
      <c r="J281" s="65">
        <f>H281*AO281</f>
        <v>64</v>
      </c>
      <c r="K281" s="65">
        <f>H281*AP281</f>
        <v>0</v>
      </c>
      <c r="L281" s="65">
        <f>H281*I281</f>
        <v>64</v>
      </c>
      <c r="M281" s="81"/>
      <c r="N281" s="19"/>
      <c r="Z281" s="35">
        <f>IF(AQ281="5",BJ281,0)</f>
        <v>0</v>
      </c>
      <c r="AB281" s="35">
        <f>IF(AQ281="1",BH281,0)</f>
        <v>0</v>
      </c>
      <c r="AC281" s="35">
        <f>IF(AQ281="1",BI281,0)</f>
        <v>0</v>
      </c>
      <c r="AD281" s="35">
        <f>IF(AQ281="7",BH281,0)</f>
        <v>64</v>
      </c>
      <c r="AE281" s="35">
        <f>IF(AQ281="7",BI281,0)</f>
        <v>0</v>
      </c>
      <c r="AF281" s="35">
        <f>IF(AQ281="2",BH281,0)</f>
        <v>0</v>
      </c>
      <c r="AG281" s="35">
        <f>IF(AQ281="2",BI281,0)</f>
        <v>0</v>
      </c>
      <c r="AH281" s="35">
        <f>IF(AQ281="0",BJ281,0)</f>
        <v>0</v>
      </c>
      <c r="AI281" s="83" t="s">
        <v>64</v>
      </c>
      <c r="AJ281" s="65">
        <f>IF(AN281=0,L281,0)</f>
        <v>0</v>
      </c>
      <c r="AK281" s="65">
        <f>IF(AN281=15,L281,0)</f>
        <v>0</v>
      </c>
      <c r="AL281" s="65">
        <f>IF(AN281=21,L281,0)</f>
        <v>64</v>
      </c>
      <c r="AN281" s="35">
        <v>21</v>
      </c>
      <c r="AO281" s="35">
        <f>I281*1</f>
        <v>32</v>
      </c>
      <c r="AP281" s="35">
        <f>I281*(1-1)</f>
        <v>0</v>
      </c>
      <c r="AQ281" s="85" t="s">
        <v>144</v>
      </c>
      <c r="AV281" s="35">
        <f>AW281+AX281</f>
        <v>64</v>
      </c>
      <c r="AW281" s="35">
        <f>H281*AO281</f>
        <v>64</v>
      </c>
      <c r="AX281" s="35">
        <f>H281*AP281</f>
        <v>0</v>
      </c>
      <c r="AY281" s="86" t="s">
        <v>1045</v>
      </c>
      <c r="AZ281" s="86" t="s">
        <v>1062</v>
      </c>
      <c r="BA281" s="83" t="s">
        <v>1078</v>
      </c>
      <c r="BC281" s="35">
        <f>AW281+AX281</f>
        <v>64</v>
      </c>
      <c r="BD281" s="35">
        <f>I281/(100-BE281)*100</f>
        <v>32</v>
      </c>
      <c r="BE281" s="35">
        <v>0</v>
      </c>
      <c r="BF281" s="35">
        <f>281</f>
        <v>281</v>
      </c>
      <c r="BH281" s="65">
        <f>H281*AO281</f>
        <v>64</v>
      </c>
      <c r="BI281" s="65">
        <f>H281*AP281</f>
        <v>0</v>
      </c>
      <c r="BJ281" s="65">
        <f>H281*I281</f>
        <v>64</v>
      </c>
      <c r="BK281" s="65" t="s">
        <v>1001</v>
      </c>
      <c r="BL281" s="35">
        <v>741</v>
      </c>
    </row>
    <row r="282" spans="1:64" x14ac:dyDescent="0.2">
      <c r="A282" s="19"/>
      <c r="C282" s="59" t="s">
        <v>521</v>
      </c>
      <c r="D282" s="180" t="s">
        <v>891</v>
      </c>
      <c r="E282" s="181"/>
      <c r="F282" s="181"/>
      <c r="G282" s="181"/>
      <c r="H282" s="181"/>
      <c r="I282" s="182"/>
      <c r="J282" s="181"/>
      <c r="K282" s="181"/>
      <c r="L282" s="181"/>
      <c r="M282" s="183"/>
      <c r="N282" s="19"/>
    </row>
    <row r="283" spans="1:64" x14ac:dyDescent="0.2">
      <c r="A283" s="47" t="s">
        <v>262</v>
      </c>
      <c r="B283" s="55" t="s">
        <v>64</v>
      </c>
      <c r="C283" s="55" t="s">
        <v>646</v>
      </c>
      <c r="D283" s="178" t="s">
        <v>892</v>
      </c>
      <c r="E283" s="179"/>
      <c r="F283" s="179"/>
      <c r="G283" s="55" t="s">
        <v>1002</v>
      </c>
      <c r="H283" s="64">
        <v>1</v>
      </c>
      <c r="I283" s="71">
        <v>396</v>
      </c>
      <c r="J283" s="64">
        <f>H283*AO283</f>
        <v>0</v>
      </c>
      <c r="K283" s="64">
        <f>H283*AP283</f>
        <v>396</v>
      </c>
      <c r="L283" s="64">
        <f>H283*I283</f>
        <v>396</v>
      </c>
      <c r="M283" s="79"/>
      <c r="N283" s="19"/>
      <c r="Z283" s="35">
        <f>IF(AQ283="5",BJ283,0)</f>
        <v>0</v>
      </c>
      <c r="AB283" s="35">
        <f>IF(AQ283="1",BH283,0)</f>
        <v>0</v>
      </c>
      <c r="AC283" s="35">
        <f>IF(AQ283="1",BI283,0)</f>
        <v>0</v>
      </c>
      <c r="AD283" s="35">
        <f>IF(AQ283="7",BH283,0)</f>
        <v>0</v>
      </c>
      <c r="AE283" s="35">
        <f>IF(AQ283="7",BI283,0)</f>
        <v>396</v>
      </c>
      <c r="AF283" s="35">
        <f>IF(AQ283="2",BH283,0)</f>
        <v>0</v>
      </c>
      <c r="AG283" s="35">
        <f>IF(AQ283="2",BI283,0)</f>
        <v>0</v>
      </c>
      <c r="AH283" s="35">
        <f>IF(AQ283="0",BJ283,0)</f>
        <v>0</v>
      </c>
      <c r="AI283" s="83" t="s">
        <v>64</v>
      </c>
      <c r="AJ283" s="64">
        <f>IF(AN283=0,L283,0)</f>
        <v>0</v>
      </c>
      <c r="AK283" s="64">
        <f>IF(AN283=15,L283,0)</f>
        <v>0</v>
      </c>
      <c r="AL283" s="64">
        <f>IF(AN283=21,L283,0)</f>
        <v>396</v>
      </c>
      <c r="AN283" s="35">
        <v>21</v>
      </c>
      <c r="AO283" s="35">
        <f>I283*0</f>
        <v>0</v>
      </c>
      <c r="AP283" s="35">
        <f>I283*(1-0)</f>
        <v>396</v>
      </c>
      <c r="AQ283" s="84" t="s">
        <v>144</v>
      </c>
      <c r="AV283" s="35">
        <f>AW283+AX283</f>
        <v>396</v>
      </c>
      <c r="AW283" s="35">
        <f>H283*AO283</f>
        <v>0</v>
      </c>
      <c r="AX283" s="35">
        <f>H283*AP283</f>
        <v>396</v>
      </c>
      <c r="AY283" s="86" t="s">
        <v>1045</v>
      </c>
      <c r="AZ283" s="86" t="s">
        <v>1062</v>
      </c>
      <c r="BA283" s="83" t="s">
        <v>1078</v>
      </c>
      <c r="BC283" s="35">
        <f>AW283+AX283</f>
        <v>396</v>
      </c>
      <c r="BD283" s="35">
        <f>I283/(100-BE283)*100</f>
        <v>396</v>
      </c>
      <c r="BE283" s="35">
        <v>0</v>
      </c>
      <c r="BF283" s="35">
        <f>283</f>
        <v>283</v>
      </c>
      <c r="BH283" s="64">
        <f>H283*AO283</f>
        <v>0</v>
      </c>
      <c r="BI283" s="64">
        <f>H283*AP283</f>
        <v>396</v>
      </c>
      <c r="BJ283" s="64">
        <f>H283*I283</f>
        <v>396</v>
      </c>
      <c r="BK283" s="64" t="s">
        <v>1086</v>
      </c>
      <c r="BL283" s="35">
        <v>741</v>
      </c>
    </row>
    <row r="284" spans="1:64" x14ac:dyDescent="0.2">
      <c r="A284" s="19"/>
      <c r="C284" s="59" t="s">
        <v>521</v>
      </c>
      <c r="D284" s="180" t="s">
        <v>893</v>
      </c>
      <c r="E284" s="181"/>
      <c r="F284" s="181"/>
      <c r="G284" s="181"/>
      <c r="H284" s="181"/>
      <c r="I284" s="182"/>
      <c r="J284" s="181"/>
      <c r="K284" s="181"/>
      <c r="L284" s="181"/>
      <c r="M284" s="183"/>
      <c r="N284" s="19"/>
    </row>
    <row r="285" spans="1:64" x14ac:dyDescent="0.2">
      <c r="A285" s="49" t="s">
        <v>263</v>
      </c>
      <c r="B285" s="57" t="s">
        <v>64</v>
      </c>
      <c r="C285" s="57" t="s">
        <v>647</v>
      </c>
      <c r="D285" s="186" t="s">
        <v>894</v>
      </c>
      <c r="E285" s="187"/>
      <c r="F285" s="187"/>
      <c r="G285" s="57" t="s">
        <v>1001</v>
      </c>
      <c r="H285" s="65">
        <v>5</v>
      </c>
      <c r="I285" s="73">
        <v>50</v>
      </c>
      <c r="J285" s="65">
        <f>H285*AO285</f>
        <v>250</v>
      </c>
      <c r="K285" s="65">
        <f>H285*AP285</f>
        <v>0</v>
      </c>
      <c r="L285" s="65">
        <f>H285*I285</f>
        <v>250</v>
      </c>
      <c r="M285" s="81"/>
      <c r="N285" s="19"/>
      <c r="Z285" s="35">
        <f>IF(AQ285="5",BJ285,0)</f>
        <v>0</v>
      </c>
      <c r="AB285" s="35">
        <f>IF(AQ285="1",BH285,0)</f>
        <v>0</v>
      </c>
      <c r="AC285" s="35">
        <f>IF(AQ285="1",BI285,0)</f>
        <v>0</v>
      </c>
      <c r="AD285" s="35">
        <f>IF(AQ285="7",BH285,0)</f>
        <v>250</v>
      </c>
      <c r="AE285" s="35">
        <f>IF(AQ285="7",BI285,0)</f>
        <v>0</v>
      </c>
      <c r="AF285" s="35">
        <f>IF(AQ285="2",BH285,0)</f>
        <v>0</v>
      </c>
      <c r="AG285" s="35">
        <f>IF(AQ285="2",BI285,0)</f>
        <v>0</v>
      </c>
      <c r="AH285" s="35">
        <f>IF(AQ285="0",BJ285,0)</f>
        <v>0</v>
      </c>
      <c r="AI285" s="83" t="s">
        <v>64</v>
      </c>
      <c r="AJ285" s="65">
        <f>IF(AN285=0,L285,0)</f>
        <v>0</v>
      </c>
      <c r="AK285" s="65">
        <f>IF(AN285=15,L285,0)</f>
        <v>0</v>
      </c>
      <c r="AL285" s="65">
        <f>IF(AN285=21,L285,0)</f>
        <v>250</v>
      </c>
      <c r="AN285" s="35">
        <v>21</v>
      </c>
      <c r="AO285" s="35">
        <f>I285*1</f>
        <v>50</v>
      </c>
      <c r="AP285" s="35">
        <f>I285*(1-1)</f>
        <v>0</v>
      </c>
      <c r="AQ285" s="85" t="s">
        <v>144</v>
      </c>
      <c r="AV285" s="35">
        <f>AW285+AX285</f>
        <v>250</v>
      </c>
      <c r="AW285" s="35">
        <f>H285*AO285</f>
        <v>250</v>
      </c>
      <c r="AX285" s="35">
        <f>H285*AP285</f>
        <v>0</v>
      </c>
      <c r="AY285" s="86" t="s">
        <v>1045</v>
      </c>
      <c r="AZ285" s="86" t="s">
        <v>1062</v>
      </c>
      <c r="BA285" s="83" t="s">
        <v>1078</v>
      </c>
      <c r="BC285" s="35">
        <f>AW285+AX285</f>
        <v>250</v>
      </c>
      <c r="BD285" s="35">
        <f>I285/(100-BE285)*100</f>
        <v>50</v>
      </c>
      <c r="BE285" s="35">
        <v>0</v>
      </c>
      <c r="BF285" s="35">
        <f>285</f>
        <v>285</v>
      </c>
      <c r="BH285" s="65">
        <f>H285*AO285</f>
        <v>250</v>
      </c>
      <c r="BI285" s="65">
        <f>H285*AP285</f>
        <v>0</v>
      </c>
      <c r="BJ285" s="65">
        <f>H285*I285</f>
        <v>250</v>
      </c>
      <c r="BK285" s="65" t="s">
        <v>1001</v>
      </c>
      <c r="BL285" s="35">
        <v>741</v>
      </c>
    </row>
    <row r="286" spans="1:64" x14ac:dyDescent="0.2">
      <c r="A286" s="19"/>
      <c r="C286" s="59" t="s">
        <v>521</v>
      </c>
      <c r="D286" s="180" t="s">
        <v>894</v>
      </c>
      <c r="E286" s="181"/>
      <c r="F286" s="181"/>
      <c r="G286" s="181"/>
      <c r="H286" s="181"/>
      <c r="I286" s="182"/>
      <c r="J286" s="181"/>
      <c r="K286" s="181"/>
      <c r="L286" s="181"/>
      <c r="M286" s="183"/>
      <c r="N286" s="19"/>
    </row>
    <row r="287" spans="1:64" x14ac:dyDescent="0.2">
      <c r="A287" s="47" t="s">
        <v>264</v>
      </c>
      <c r="B287" s="55" t="s">
        <v>64</v>
      </c>
      <c r="C287" s="55" t="s">
        <v>648</v>
      </c>
      <c r="D287" s="178" t="s">
        <v>895</v>
      </c>
      <c r="E287" s="179"/>
      <c r="F287" s="179"/>
      <c r="G287" s="55" t="s">
        <v>1002</v>
      </c>
      <c r="H287" s="64">
        <v>1</v>
      </c>
      <c r="I287" s="71">
        <v>504</v>
      </c>
      <c r="J287" s="64">
        <f>H287*AO287</f>
        <v>0</v>
      </c>
      <c r="K287" s="64">
        <f>H287*AP287</f>
        <v>504</v>
      </c>
      <c r="L287" s="64">
        <f>H287*I287</f>
        <v>504</v>
      </c>
      <c r="M287" s="79"/>
      <c r="N287" s="19"/>
      <c r="Z287" s="35">
        <f>IF(AQ287="5",BJ287,0)</f>
        <v>0</v>
      </c>
      <c r="AB287" s="35">
        <f>IF(AQ287="1",BH287,0)</f>
        <v>0</v>
      </c>
      <c r="AC287" s="35">
        <f>IF(AQ287="1",BI287,0)</f>
        <v>0</v>
      </c>
      <c r="AD287" s="35">
        <f>IF(AQ287="7",BH287,0)</f>
        <v>0</v>
      </c>
      <c r="AE287" s="35">
        <f>IF(AQ287="7",BI287,0)</f>
        <v>504</v>
      </c>
      <c r="AF287" s="35">
        <f>IF(AQ287="2",BH287,0)</f>
        <v>0</v>
      </c>
      <c r="AG287" s="35">
        <f>IF(AQ287="2",BI287,0)</f>
        <v>0</v>
      </c>
      <c r="AH287" s="35">
        <f>IF(AQ287="0",BJ287,0)</f>
        <v>0</v>
      </c>
      <c r="AI287" s="83" t="s">
        <v>64</v>
      </c>
      <c r="AJ287" s="64">
        <f>IF(AN287=0,L287,0)</f>
        <v>0</v>
      </c>
      <c r="AK287" s="64">
        <f>IF(AN287=15,L287,0)</f>
        <v>0</v>
      </c>
      <c r="AL287" s="64">
        <f>IF(AN287=21,L287,0)</f>
        <v>504</v>
      </c>
      <c r="AN287" s="35">
        <v>21</v>
      </c>
      <c r="AO287" s="35">
        <f>I287*0</f>
        <v>0</v>
      </c>
      <c r="AP287" s="35">
        <f>I287*(1-0)</f>
        <v>504</v>
      </c>
      <c r="AQ287" s="84" t="s">
        <v>144</v>
      </c>
      <c r="AV287" s="35">
        <f>AW287+AX287</f>
        <v>504</v>
      </c>
      <c r="AW287" s="35">
        <f>H287*AO287</f>
        <v>0</v>
      </c>
      <c r="AX287" s="35">
        <f>H287*AP287</f>
        <v>504</v>
      </c>
      <c r="AY287" s="86" t="s">
        <v>1045</v>
      </c>
      <c r="AZ287" s="86" t="s">
        <v>1062</v>
      </c>
      <c r="BA287" s="83" t="s">
        <v>1078</v>
      </c>
      <c r="BC287" s="35">
        <f>AW287+AX287</f>
        <v>504</v>
      </c>
      <c r="BD287" s="35">
        <f>I287/(100-BE287)*100</f>
        <v>504</v>
      </c>
      <c r="BE287" s="35">
        <v>0</v>
      </c>
      <c r="BF287" s="35">
        <f>287</f>
        <v>287</v>
      </c>
      <c r="BH287" s="64">
        <f>H287*AO287</f>
        <v>0</v>
      </c>
      <c r="BI287" s="64">
        <f>H287*AP287</f>
        <v>504</v>
      </c>
      <c r="BJ287" s="64">
        <f>H287*I287</f>
        <v>504</v>
      </c>
      <c r="BK287" s="64" t="s">
        <v>1086</v>
      </c>
      <c r="BL287" s="35">
        <v>741</v>
      </c>
    </row>
    <row r="288" spans="1:64" x14ac:dyDescent="0.2">
      <c r="A288" s="19"/>
      <c r="C288" s="59" t="s">
        <v>521</v>
      </c>
      <c r="D288" s="180" t="s">
        <v>895</v>
      </c>
      <c r="E288" s="181"/>
      <c r="F288" s="181"/>
      <c r="G288" s="181"/>
      <c r="H288" s="181"/>
      <c r="I288" s="182"/>
      <c r="J288" s="181"/>
      <c r="K288" s="181"/>
      <c r="L288" s="181"/>
      <c r="M288" s="183"/>
      <c r="N288" s="19"/>
    </row>
    <row r="289" spans="1:64" x14ac:dyDescent="0.2">
      <c r="A289" s="47" t="s">
        <v>265</v>
      </c>
      <c r="B289" s="55" t="s">
        <v>64</v>
      </c>
      <c r="C289" s="55" t="s">
        <v>571</v>
      </c>
      <c r="D289" s="178" t="s">
        <v>896</v>
      </c>
      <c r="E289" s="179"/>
      <c r="F289" s="179"/>
      <c r="G289" s="55" t="s">
        <v>1000</v>
      </c>
      <c r="H289" s="64">
        <v>174.92</v>
      </c>
      <c r="I289" s="71">
        <v>1</v>
      </c>
      <c r="J289" s="64">
        <f>H289*AO289</f>
        <v>0</v>
      </c>
      <c r="K289" s="64">
        <f>H289*AP289</f>
        <v>174.92</v>
      </c>
      <c r="L289" s="64">
        <f>H289*I289</f>
        <v>174.92</v>
      </c>
      <c r="M289" s="79" t="s">
        <v>1021</v>
      </c>
      <c r="N289" s="19"/>
      <c r="Z289" s="35">
        <f>IF(AQ289="5",BJ289,0)</f>
        <v>0</v>
      </c>
      <c r="AB289" s="35">
        <f>IF(AQ289="1",BH289,0)</f>
        <v>0</v>
      </c>
      <c r="AC289" s="35">
        <f>IF(AQ289="1",BI289,0)</f>
        <v>0</v>
      </c>
      <c r="AD289" s="35">
        <f>IF(AQ289="7",BH289,0)</f>
        <v>0</v>
      </c>
      <c r="AE289" s="35">
        <f>IF(AQ289="7",BI289,0)</f>
        <v>174.92</v>
      </c>
      <c r="AF289" s="35">
        <f>IF(AQ289="2",BH289,0)</f>
        <v>0</v>
      </c>
      <c r="AG289" s="35">
        <f>IF(AQ289="2",BI289,0)</f>
        <v>0</v>
      </c>
      <c r="AH289" s="35">
        <f>IF(AQ289="0",BJ289,0)</f>
        <v>0</v>
      </c>
      <c r="AI289" s="83" t="s">
        <v>64</v>
      </c>
      <c r="AJ289" s="64">
        <f>IF(AN289=0,L289,0)</f>
        <v>0</v>
      </c>
      <c r="AK289" s="64">
        <f>IF(AN289=15,L289,0)</f>
        <v>0</v>
      </c>
      <c r="AL289" s="64">
        <f>IF(AN289=21,L289,0)</f>
        <v>174.92</v>
      </c>
      <c r="AN289" s="35">
        <v>21</v>
      </c>
      <c r="AO289" s="35">
        <f>I289*0</f>
        <v>0</v>
      </c>
      <c r="AP289" s="35">
        <f>I289*(1-0)</f>
        <v>1</v>
      </c>
      <c r="AQ289" s="84" t="s">
        <v>144</v>
      </c>
      <c r="AV289" s="35">
        <f>AW289+AX289</f>
        <v>174.92</v>
      </c>
      <c r="AW289" s="35">
        <f>H289*AO289</f>
        <v>0</v>
      </c>
      <c r="AX289" s="35">
        <f>H289*AP289</f>
        <v>174.92</v>
      </c>
      <c r="AY289" s="86" t="s">
        <v>1045</v>
      </c>
      <c r="AZ289" s="86" t="s">
        <v>1062</v>
      </c>
      <c r="BA289" s="83" t="s">
        <v>1078</v>
      </c>
      <c r="BC289" s="35">
        <f>AW289+AX289</f>
        <v>174.92</v>
      </c>
      <c r="BD289" s="35">
        <f>I289/(100-BE289)*100</f>
        <v>1</v>
      </c>
      <c r="BE289" s="35">
        <v>0</v>
      </c>
      <c r="BF289" s="35">
        <f>289</f>
        <v>289</v>
      </c>
      <c r="BH289" s="64">
        <f>H289*AO289</f>
        <v>0</v>
      </c>
      <c r="BI289" s="64">
        <f>H289*AP289</f>
        <v>174.92</v>
      </c>
      <c r="BJ289" s="64">
        <f>H289*I289</f>
        <v>174.92</v>
      </c>
      <c r="BK289" s="64" t="s">
        <v>1086</v>
      </c>
      <c r="BL289" s="35">
        <v>741</v>
      </c>
    </row>
    <row r="290" spans="1:64" x14ac:dyDescent="0.2">
      <c r="A290" s="19"/>
      <c r="C290" s="59" t="s">
        <v>521</v>
      </c>
      <c r="D290" s="180" t="s">
        <v>897</v>
      </c>
      <c r="E290" s="181"/>
      <c r="F290" s="181"/>
      <c r="G290" s="181"/>
      <c r="H290" s="181"/>
      <c r="I290" s="182"/>
      <c r="J290" s="181"/>
      <c r="K290" s="181"/>
      <c r="L290" s="181"/>
      <c r="M290" s="183"/>
      <c r="N290" s="19"/>
    </row>
    <row r="291" spans="1:64" x14ac:dyDescent="0.2">
      <c r="A291" s="49" t="s">
        <v>266</v>
      </c>
      <c r="B291" s="57" t="s">
        <v>64</v>
      </c>
      <c r="C291" s="57" t="s">
        <v>649</v>
      </c>
      <c r="D291" s="186" t="s">
        <v>898</v>
      </c>
      <c r="E291" s="187"/>
      <c r="F291" s="187"/>
      <c r="G291" s="57" t="s">
        <v>1002</v>
      </c>
      <c r="H291" s="65">
        <v>1</v>
      </c>
      <c r="I291" s="73">
        <v>166420</v>
      </c>
      <c r="J291" s="65">
        <f>H291*AO291</f>
        <v>166420</v>
      </c>
      <c r="K291" s="65">
        <f>H291*AP291</f>
        <v>0</v>
      </c>
      <c r="L291" s="65">
        <f>H291*I291</f>
        <v>166420</v>
      </c>
      <c r="M291" s="81"/>
      <c r="N291" s="19"/>
      <c r="Z291" s="35">
        <f>IF(AQ291="5",BJ291,0)</f>
        <v>0</v>
      </c>
      <c r="AB291" s="35">
        <f>IF(AQ291="1",BH291,0)</f>
        <v>0</v>
      </c>
      <c r="AC291" s="35">
        <f>IF(AQ291="1",BI291,0)</f>
        <v>0</v>
      </c>
      <c r="AD291" s="35">
        <f>IF(AQ291="7",BH291,0)</f>
        <v>166420</v>
      </c>
      <c r="AE291" s="35">
        <f>IF(AQ291="7",BI291,0)</f>
        <v>0</v>
      </c>
      <c r="AF291" s="35">
        <f>IF(AQ291="2",BH291,0)</f>
        <v>0</v>
      </c>
      <c r="AG291" s="35">
        <f>IF(AQ291="2",BI291,0)</f>
        <v>0</v>
      </c>
      <c r="AH291" s="35">
        <f>IF(AQ291="0",BJ291,0)</f>
        <v>0</v>
      </c>
      <c r="AI291" s="83" t="s">
        <v>64</v>
      </c>
      <c r="AJ291" s="65">
        <f>IF(AN291=0,L291,0)</f>
        <v>0</v>
      </c>
      <c r="AK291" s="65">
        <f>IF(AN291=15,L291,0)</f>
        <v>0</v>
      </c>
      <c r="AL291" s="65">
        <f>IF(AN291=21,L291,0)</f>
        <v>166420</v>
      </c>
      <c r="AN291" s="35">
        <v>21</v>
      </c>
      <c r="AO291" s="35">
        <f>I291*1</f>
        <v>166420</v>
      </c>
      <c r="AP291" s="35">
        <f>I291*(1-1)</f>
        <v>0</v>
      </c>
      <c r="AQ291" s="85" t="s">
        <v>144</v>
      </c>
      <c r="AV291" s="35">
        <f>AW291+AX291</f>
        <v>166420</v>
      </c>
      <c r="AW291" s="35">
        <f>H291*AO291</f>
        <v>166420</v>
      </c>
      <c r="AX291" s="35">
        <f>H291*AP291</f>
        <v>0</v>
      </c>
      <c r="AY291" s="86" t="s">
        <v>1045</v>
      </c>
      <c r="AZ291" s="86" t="s">
        <v>1062</v>
      </c>
      <c r="BA291" s="83" t="s">
        <v>1078</v>
      </c>
      <c r="BC291" s="35">
        <f>AW291+AX291</f>
        <v>166420</v>
      </c>
      <c r="BD291" s="35">
        <f>I291/(100-BE291)*100</f>
        <v>166420</v>
      </c>
      <c r="BE291" s="35">
        <v>0</v>
      </c>
      <c r="BF291" s="35">
        <f>291</f>
        <v>291</v>
      </c>
      <c r="BH291" s="65">
        <f>H291*AO291</f>
        <v>166420</v>
      </c>
      <c r="BI291" s="65">
        <f>H291*AP291</f>
        <v>0</v>
      </c>
      <c r="BJ291" s="65">
        <f>H291*I291</f>
        <v>166420</v>
      </c>
      <c r="BK291" s="65" t="s">
        <v>1001</v>
      </c>
      <c r="BL291" s="35">
        <v>741</v>
      </c>
    </row>
    <row r="292" spans="1:64" ht="179.65" customHeight="1" x14ac:dyDescent="0.2">
      <c r="A292" s="19"/>
      <c r="C292" s="59" t="s">
        <v>521</v>
      </c>
      <c r="D292" s="180" t="s">
        <v>969</v>
      </c>
      <c r="E292" s="181"/>
      <c r="F292" s="181"/>
      <c r="G292" s="181"/>
      <c r="H292" s="181"/>
      <c r="I292" s="182"/>
      <c r="J292" s="181"/>
      <c r="K292" s="181"/>
      <c r="L292" s="181"/>
      <c r="M292" s="183"/>
      <c r="N292" s="19"/>
    </row>
    <row r="293" spans="1:64" x14ac:dyDescent="0.2">
      <c r="A293" s="46"/>
      <c r="B293" s="54" t="s">
        <v>64</v>
      </c>
      <c r="C293" s="54" t="s">
        <v>117</v>
      </c>
      <c r="D293" s="176" t="s">
        <v>136</v>
      </c>
      <c r="E293" s="177"/>
      <c r="F293" s="177"/>
      <c r="G293" s="61" t="s">
        <v>60</v>
      </c>
      <c r="H293" s="61" t="s">
        <v>60</v>
      </c>
      <c r="I293" s="70" t="s">
        <v>60</v>
      </c>
      <c r="J293" s="89">
        <f>SUM(J294:J396)</f>
        <v>89003</v>
      </c>
      <c r="K293" s="89">
        <f>SUM(K294:K396)</f>
        <v>46045.002</v>
      </c>
      <c r="L293" s="89">
        <f>SUM(L294:L396)</f>
        <v>135048.00200000001</v>
      </c>
      <c r="M293" s="78"/>
      <c r="N293" s="19"/>
      <c r="AI293" s="83" t="s">
        <v>64</v>
      </c>
      <c r="AS293" s="89">
        <f>SUM(AJ294:AJ396)</f>
        <v>0</v>
      </c>
      <c r="AT293" s="89">
        <f>SUM(AK294:AK396)</f>
        <v>0</v>
      </c>
      <c r="AU293" s="89">
        <f>SUM(AL294:AL396)</f>
        <v>135048.00200000001</v>
      </c>
    </row>
    <row r="294" spans="1:64" x14ac:dyDescent="0.2">
      <c r="A294" s="47" t="s">
        <v>267</v>
      </c>
      <c r="B294" s="55" t="s">
        <v>64</v>
      </c>
      <c r="C294" s="55" t="s">
        <v>650</v>
      </c>
      <c r="D294" s="178" t="s">
        <v>900</v>
      </c>
      <c r="E294" s="179"/>
      <c r="F294" s="179"/>
      <c r="G294" s="55" t="s">
        <v>1002</v>
      </c>
      <c r="H294" s="64">
        <v>1</v>
      </c>
      <c r="I294" s="71">
        <v>12850</v>
      </c>
      <c r="J294" s="64">
        <f>H294*AO294</f>
        <v>0</v>
      </c>
      <c r="K294" s="64">
        <f>H294*AP294</f>
        <v>12850</v>
      </c>
      <c r="L294" s="64">
        <f>H294*I294</f>
        <v>12850</v>
      </c>
      <c r="M294" s="79"/>
      <c r="N294" s="19"/>
      <c r="Z294" s="35">
        <f>IF(AQ294="5",BJ294,0)</f>
        <v>0</v>
      </c>
      <c r="AB294" s="35">
        <f>IF(AQ294="1",BH294,0)</f>
        <v>0</v>
      </c>
      <c r="AC294" s="35">
        <f>IF(AQ294="1",BI294,0)</f>
        <v>0</v>
      </c>
      <c r="AD294" s="35">
        <f>IF(AQ294="7",BH294,0)</f>
        <v>0</v>
      </c>
      <c r="AE294" s="35">
        <f>IF(AQ294="7",BI294,0)</f>
        <v>12850</v>
      </c>
      <c r="AF294" s="35">
        <f>IF(AQ294="2",BH294,0)</f>
        <v>0</v>
      </c>
      <c r="AG294" s="35">
        <f>IF(AQ294="2",BI294,0)</f>
        <v>0</v>
      </c>
      <c r="AH294" s="35">
        <f>IF(AQ294="0",BJ294,0)</f>
        <v>0</v>
      </c>
      <c r="AI294" s="83" t="s">
        <v>64</v>
      </c>
      <c r="AJ294" s="64">
        <f>IF(AN294=0,L294,0)</f>
        <v>0</v>
      </c>
      <c r="AK294" s="64">
        <f>IF(AN294=15,L294,0)</f>
        <v>0</v>
      </c>
      <c r="AL294" s="64">
        <f>IF(AN294=21,L294,0)</f>
        <v>12850</v>
      </c>
      <c r="AN294" s="35">
        <v>21</v>
      </c>
      <c r="AO294" s="35">
        <f>I294*0</f>
        <v>0</v>
      </c>
      <c r="AP294" s="35">
        <f>I294*(1-0)</f>
        <v>12850</v>
      </c>
      <c r="AQ294" s="84" t="s">
        <v>144</v>
      </c>
      <c r="AV294" s="35">
        <f>AW294+AX294</f>
        <v>12850</v>
      </c>
      <c r="AW294" s="35">
        <f>H294*AO294</f>
        <v>0</v>
      </c>
      <c r="AX294" s="35">
        <f>H294*AP294</f>
        <v>12850</v>
      </c>
      <c r="AY294" s="86" t="s">
        <v>1046</v>
      </c>
      <c r="AZ294" s="86" t="s">
        <v>1063</v>
      </c>
      <c r="BA294" s="83" t="s">
        <v>1078</v>
      </c>
      <c r="BC294" s="35">
        <f>AW294+AX294</f>
        <v>12850</v>
      </c>
      <c r="BD294" s="35">
        <f>I294/(100-BE294)*100</f>
        <v>12850</v>
      </c>
      <c r="BE294" s="35">
        <v>0</v>
      </c>
      <c r="BF294" s="35">
        <f>294</f>
        <v>294</v>
      </c>
      <c r="BH294" s="64">
        <f>H294*AO294</f>
        <v>0</v>
      </c>
      <c r="BI294" s="64">
        <f>H294*AP294</f>
        <v>12850</v>
      </c>
      <c r="BJ294" s="64">
        <f>H294*I294</f>
        <v>12850</v>
      </c>
      <c r="BK294" s="64" t="s">
        <v>1086</v>
      </c>
      <c r="BL294" s="35">
        <v>751</v>
      </c>
    </row>
    <row r="295" spans="1:64" x14ac:dyDescent="0.2">
      <c r="A295" s="19"/>
      <c r="C295" s="59" t="s">
        <v>521</v>
      </c>
      <c r="D295" s="180" t="s">
        <v>901</v>
      </c>
      <c r="E295" s="181"/>
      <c r="F295" s="181"/>
      <c r="G295" s="181"/>
      <c r="H295" s="181"/>
      <c r="I295" s="182"/>
      <c r="J295" s="181"/>
      <c r="K295" s="181"/>
      <c r="L295" s="181"/>
      <c r="M295" s="183"/>
      <c r="N295" s="19"/>
    </row>
    <row r="296" spans="1:64" x14ac:dyDescent="0.2">
      <c r="A296" s="49" t="s">
        <v>268</v>
      </c>
      <c r="B296" s="57" t="s">
        <v>64</v>
      </c>
      <c r="C296" s="57" t="s">
        <v>651</v>
      </c>
      <c r="D296" s="186" t="s">
        <v>902</v>
      </c>
      <c r="E296" s="187"/>
      <c r="F296" s="187"/>
      <c r="G296" s="57" t="s">
        <v>1006</v>
      </c>
      <c r="H296" s="65">
        <v>1</v>
      </c>
      <c r="I296" s="73">
        <v>5840</v>
      </c>
      <c r="J296" s="65">
        <f>H296*AO296</f>
        <v>5840</v>
      </c>
      <c r="K296" s="65">
        <f>H296*AP296</f>
        <v>0</v>
      </c>
      <c r="L296" s="65">
        <f>H296*I296</f>
        <v>5840</v>
      </c>
      <c r="M296" s="81"/>
      <c r="N296" s="19"/>
      <c r="Z296" s="35">
        <f>IF(AQ296="5",BJ296,0)</f>
        <v>0</v>
      </c>
      <c r="AB296" s="35">
        <f>IF(AQ296="1",BH296,0)</f>
        <v>0</v>
      </c>
      <c r="AC296" s="35">
        <f>IF(AQ296="1",BI296,0)</f>
        <v>0</v>
      </c>
      <c r="AD296" s="35">
        <f>IF(AQ296="7",BH296,0)</f>
        <v>5840</v>
      </c>
      <c r="AE296" s="35">
        <f>IF(AQ296="7",BI296,0)</f>
        <v>0</v>
      </c>
      <c r="AF296" s="35">
        <f>IF(AQ296="2",BH296,0)</f>
        <v>0</v>
      </c>
      <c r="AG296" s="35">
        <f>IF(AQ296="2",BI296,0)</f>
        <v>0</v>
      </c>
      <c r="AH296" s="35">
        <f>IF(AQ296="0",BJ296,0)</f>
        <v>0</v>
      </c>
      <c r="AI296" s="83" t="s">
        <v>64</v>
      </c>
      <c r="AJ296" s="65">
        <f>IF(AN296=0,L296,0)</f>
        <v>0</v>
      </c>
      <c r="AK296" s="65">
        <f>IF(AN296=15,L296,0)</f>
        <v>0</v>
      </c>
      <c r="AL296" s="65">
        <f>IF(AN296=21,L296,0)</f>
        <v>5840</v>
      </c>
      <c r="AN296" s="35">
        <v>21</v>
      </c>
      <c r="AO296" s="35">
        <f>I296*1</f>
        <v>5840</v>
      </c>
      <c r="AP296" s="35">
        <f>I296*(1-1)</f>
        <v>0</v>
      </c>
      <c r="AQ296" s="85" t="s">
        <v>144</v>
      </c>
      <c r="AV296" s="35">
        <f>AW296+AX296</f>
        <v>5840</v>
      </c>
      <c r="AW296" s="35">
        <f>H296*AO296</f>
        <v>5840</v>
      </c>
      <c r="AX296" s="35">
        <f>H296*AP296</f>
        <v>0</v>
      </c>
      <c r="AY296" s="86" t="s">
        <v>1046</v>
      </c>
      <c r="AZ296" s="86" t="s">
        <v>1063</v>
      </c>
      <c r="BA296" s="83" t="s">
        <v>1078</v>
      </c>
      <c r="BC296" s="35">
        <f>AW296+AX296</f>
        <v>5840</v>
      </c>
      <c r="BD296" s="35">
        <f>I296/(100-BE296)*100</f>
        <v>5840</v>
      </c>
      <c r="BE296" s="35">
        <v>0</v>
      </c>
      <c r="BF296" s="35">
        <f>296</f>
        <v>296</v>
      </c>
      <c r="BH296" s="65">
        <f>H296*AO296</f>
        <v>5840</v>
      </c>
      <c r="BI296" s="65">
        <f>H296*AP296</f>
        <v>0</v>
      </c>
      <c r="BJ296" s="65">
        <f>H296*I296</f>
        <v>5840</v>
      </c>
      <c r="BK296" s="65" t="s">
        <v>1001</v>
      </c>
      <c r="BL296" s="35">
        <v>751</v>
      </c>
    </row>
    <row r="297" spans="1:64" x14ac:dyDescent="0.2">
      <c r="A297" s="19"/>
      <c r="C297" s="59" t="s">
        <v>521</v>
      </c>
      <c r="D297" s="180" t="s">
        <v>902</v>
      </c>
      <c r="E297" s="181"/>
      <c r="F297" s="181"/>
      <c r="G297" s="181"/>
      <c r="H297" s="181"/>
      <c r="I297" s="182"/>
      <c r="J297" s="181"/>
      <c r="K297" s="181"/>
      <c r="L297" s="181"/>
      <c r="M297" s="183"/>
      <c r="N297" s="19"/>
    </row>
    <row r="298" spans="1:64" x14ac:dyDescent="0.2">
      <c r="A298" s="47" t="s">
        <v>269</v>
      </c>
      <c r="B298" s="55" t="s">
        <v>64</v>
      </c>
      <c r="C298" s="55" t="s">
        <v>652</v>
      </c>
      <c r="D298" s="178" t="s">
        <v>903</v>
      </c>
      <c r="E298" s="179"/>
      <c r="F298" s="179"/>
      <c r="G298" s="55" t="s">
        <v>1002</v>
      </c>
      <c r="H298" s="64">
        <v>1</v>
      </c>
      <c r="I298" s="71">
        <v>920</v>
      </c>
      <c r="J298" s="64">
        <f>H298*AO298</f>
        <v>0</v>
      </c>
      <c r="K298" s="64">
        <f>H298*AP298</f>
        <v>920</v>
      </c>
      <c r="L298" s="64">
        <f>H298*I298</f>
        <v>920</v>
      </c>
      <c r="M298" s="79"/>
      <c r="N298" s="19"/>
      <c r="Z298" s="35">
        <f>IF(AQ298="5",BJ298,0)</f>
        <v>0</v>
      </c>
      <c r="AB298" s="35">
        <f>IF(AQ298="1",BH298,0)</f>
        <v>0</v>
      </c>
      <c r="AC298" s="35">
        <f>IF(AQ298="1",BI298,0)</f>
        <v>0</v>
      </c>
      <c r="AD298" s="35">
        <f>IF(AQ298="7",BH298,0)</f>
        <v>0</v>
      </c>
      <c r="AE298" s="35">
        <f>IF(AQ298="7",BI298,0)</f>
        <v>920</v>
      </c>
      <c r="AF298" s="35">
        <f>IF(AQ298="2",BH298,0)</f>
        <v>0</v>
      </c>
      <c r="AG298" s="35">
        <f>IF(AQ298="2",BI298,0)</f>
        <v>0</v>
      </c>
      <c r="AH298" s="35">
        <f>IF(AQ298="0",BJ298,0)</f>
        <v>0</v>
      </c>
      <c r="AI298" s="83" t="s">
        <v>64</v>
      </c>
      <c r="AJ298" s="64">
        <f>IF(AN298=0,L298,0)</f>
        <v>0</v>
      </c>
      <c r="AK298" s="64">
        <f>IF(AN298=15,L298,0)</f>
        <v>0</v>
      </c>
      <c r="AL298" s="64">
        <f>IF(AN298=21,L298,0)</f>
        <v>920</v>
      </c>
      <c r="AN298" s="35">
        <v>21</v>
      </c>
      <c r="AO298" s="35">
        <f>I298*0</f>
        <v>0</v>
      </c>
      <c r="AP298" s="35">
        <f>I298*(1-0)</f>
        <v>920</v>
      </c>
      <c r="AQ298" s="84" t="s">
        <v>144</v>
      </c>
      <c r="AV298" s="35">
        <f>AW298+AX298</f>
        <v>920</v>
      </c>
      <c r="AW298" s="35">
        <f>H298*AO298</f>
        <v>0</v>
      </c>
      <c r="AX298" s="35">
        <f>H298*AP298</f>
        <v>920</v>
      </c>
      <c r="AY298" s="86" t="s">
        <v>1046</v>
      </c>
      <c r="AZ298" s="86" t="s">
        <v>1063</v>
      </c>
      <c r="BA298" s="83" t="s">
        <v>1078</v>
      </c>
      <c r="BC298" s="35">
        <f>AW298+AX298</f>
        <v>920</v>
      </c>
      <c r="BD298" s="35">
        <f>I298/(100-BE298)*100</f>
        <v>919.99999999999989</v>
      </c>
      <c r="BE298" s="35">
        <v>0</v>
      </c>
      <c r="BF298" s="35">
        <f>298</f>
        <v>298</v>
      </c>
      <c r="BH298" s="64">
        <f>H298*AO298</f>
        <v>0</v>
      </c>
      <c r="BI298" s="64">
        <f>H298*AP298</f>
        <v>920</v>
      </c>
      <c r="BJ298" s="64">
        <f>H298*I298</f>
        <v>920</v>
      </c>
      <c r="BK298" s="64" t="s">
        <v>1086</v>
      </c>
      <c r="BL298" s="35">
        <v>751</v>
      </c>
    </row>
    <row r="299" spans="1:64" x14ac:dyDescent="0.2">
      <c r="A299" s="19"/>
      <c r="C299" s="59" t="s">
        <v>521</v>
      </c>
      <c r="D299" s="180" t="s">
        <v>903</v>
      </c>
      <c r="E299" s="181"/>
      <c r="F299" s="181"/>
      <c r="G299" s="181"/>
      <c r="H299" s="181"/>
      <c r="I299" s="182"/>
      <c r="J299" s="181"/>
      <c r="K299" s="181"/>
      <c r="L299" s="181"/>
      <c r="M299" s="183"/>
      <c r="N299" s="19"/>
    </row>
    <row r="300" spans="1:64" x14ac:dyDescent="0.2">
      <c r="A300" s="49" t="s">
        <v>270</v>
      </c>
      <c r="B300" s="57" t="s">
        <v>64</v>
      </c>
      <c r="C300" s="57" t="s">
        <v>653</v>
      </c>
      <c r="D300" s="186" t="s">
        <v>905</v>
      </c>
      <c r="E300" s="187"/>
      <c r="F300" s="187"/>
      <c r="G300" s="57" t="s">
        <v>1004</v>
      </c>
      <c r="H300" s="65">
        <v>2</v>
      </c>
      <c r="I300" s="73">
        <v>335</v>
      </c>
      <c r="J300" s="65">
        <f>H300*AO300</f>
        <v>670</v>
      </c>
      <c r="K300" s="65">
        <f>H300*AP300</f>
        <v>0</v>
      </c>
      <c r="L300" s="65">
        <f>H300*I300</f>
        <v>670</v>
      </c>
      <c r="M300" s="81"/>
      <c r="N300" s="19"/>
      <c r="Z300" s="35">
        <f>IF(AQ300="5",BJ300,0)</f>
        <v>0</v>
      </c>
      <c r="AB300" s="35">
        <f>IF(AQ300="1",BH300,0)</f>
        <v>0</v>
      </c>
      <c r="AC300" s="35">
        <f>IF(AQ300="1",BI300,0)</f>
        <v>0</v>
      </c>
      <c r="AD300" s="35">
        <f>IF(AQ300="7",BH300,0)</f>
        <v>670</v>
      </c>
      <c r="AE300" s="35">
        <f>IF(AQ300="7",BI300,0)</f>
        <v>0</v>
      </c>
      <c r="AF300" s="35">
        <f>IF(AQ300="2",BH300,0)</f>
        <v>0</v>
      </c>
      <c r="AG300" s="35">
        <f>IF(AQ300="2",BI300,0)</f>
        <v>0</v>
      </c>
      <c r="AH300" s="35">
        <f>IF(AQ300="0",BJ300,0)</f>
        <v>0</v>
      </c>
      <c r="AI300" s="83" t="s">
        <v>64</v>
      </c>
      <c r="AJ300" s="65">
        <f>IF(AN300=0,L300,0)</f>
        <v>0</v>
      </c>
      <c r="AK300" s="65">
        <f>IF(AN300=15,L300,0)</f>
        <v>0</v>
      </c>
      <c r="AL300" s="65">
        <f>IF(AN300=21,L300,0)</f>
        <v>670</v>
      </c>
      <c r="AN300" s="35">
        <v>21</v>
      </c>
      <c r="AO300" s="35">
        <f>I300*1</f>
        <v>335</v>
      </c>
      <c r="AP300" s="35">
        <f>I300*(1-1)</f>
        <v>0</v>
      </c>
      <c r="AQ300" s="85" t="s">
        <v>144</v>
      </c>
      <c r="AV300" s="35">
        <f>AW300+AX300</f>
        <v>670</v>
      </c>
      <c r="AW300" s="35">
        <f>H300*AO300</f>
        <v>670</v>
      </c>
      <c r="AX300" s="35">
        <f>H300*AP300</f>
        <v>0</v>
      </c>
      <c r="AY300" s="86" t="s">
        <v>1046</v>
      </c>
      <c r="AZ300" s="86" t="s">
        <v>1063</v>
      </c>
      <c r="BA300" s="83" t="s">
        <v>1078</v>
      </c>
      <c r="BC300" s="35">
        <f>AW300+AX300</f>
        <v>670</v>
      </c>
      <c r="BD300" s="35">
        <f>I300/(100-BE300)*100</f>
        <v>335</v>
      </c>
      <c r="BE300" s="35">
        <v>0</v>
      </c>
      <c r="BF300" s="35">
        <f>300</f>
        <v>300</v>
      </c>
      <c r="BH300" s="65">
        <f>H300*AO300</f>
        <v>670</v>
      </c>
      <c r="BI300" s="65">
        <f>H300*AP300</f>
        <v>0</v>
      </c>
      <c r="BJ300" s="65">
        <f>H300*I300</f>
        <v>670</v>
      </c>
      <c r="BK300" s="65" t="s">
        <v>1001</v>
      </c>
      <c r="BL300" s="35">
        <v>751</v>
      </c>
    </row>
    <row r="301" spans="1:64" x14ac:dyDescent="0.2">
      <c r="A301" s="19"/>
      <c r="C301" s="59" t="s">
        <v>521</v>
      </c>
      <c r="D301" s="180" t="s">
        <v>905</v>
      </c>
      <c r="E301" s="181"/>
      <c r="F301" s="181"/>
      <c r="G301" s="181"/>
      <c r="H301" s="181"/>
      <c r="I301" s="182"/>
      <c r="J301" s="181"/>
      <c r="K301" s="181"/>
      <c r="L301" s="181"/>
      <c r="M301" s="183"/>
      <c r="N301" s="19"/>
    </row>
    <row r="302" spans="1:64" x14ac:dyDescent="0.2">
      <c r="A302" s="47" t="s">
        <v>271</v>
      </c>
      <c r="B302" s="55" t="s">
        <v>64</v>
      </c>
      <c r="C302" s="55" t="s">
        <v>576</v>
      </c>
      <c r="D302" s="178" t="s">
        <v>904</v>
      </c>
      <c r="E302" s="179"/>
      <c r="F302" s="179"/>
      <c r="G302" s="55" t="s">
        <v>1003</v>
      </c>
      <c r="H302" s="64">
        <v>2</v>
      </c>
      <c r="I302" s="71">
        <v>1340</v>
      </c>
      <c r="J302" s="64">
        <f>H302*AO302</f>
        <v>0</v>
      </c>
      <c r="K302" s="64">
        <f>H302*AP302</f>
        <v>2680</v>
      </c>
      <c r="L302" s="64">
        <f>H302*I302</f>
        <v>2680</v>
      </c>
      <c r="M302" s="79" t="s">
        <v>1020</v>
      </c>
      <c r="N302" s="19"/>
      <c r="Z302" s="35">
        <f>IF(AQ302="5",BJ302,0)</f>
        <v>0</v>
      </c>
      <c r="AB302" s="35">
        <f>IF(AQ302="1",BH302,0)</f>
        <v>0</v>
      </c>
      <c r="AC302" s="35">
        <f>IF(AQ302="1",BI302,0)</f>
        <v>0</v>
      </c>
      <c r="AD302" s="35">
        <f>IF(AQ302="7",BH302,0)</f>
        <v>0</v>
      </c>
      <c r="AE302" s="35">
        <f>IF(AQ302="7",BI302,0)</f>
        <v>2680</v>
      </c>
      <c r="AF302" s="35">
        <f>IF(AQ302="2",BH302,0)</f>
        <v>0</v>
      </c>
      <c r="AG302" s="35">
        <f>IF(AQ302="2",BI302,0)</f>
        <v>0</v>
      </c>
      <c r="AH302" s="35">
        <f>IF(AQ302="0",BJ302,0)</f>
        <v>0</v>
      </c>
      <c r="AI302" s="83" t="s">
        <v>64</v>
      </c>
      <c r="AJ302" s="64">
        <f>IF(AN302=0,L302,0)</f>
        <v>0</v>
      </c>
      <c r="AK302" s="64">
        <f>IF(AN302=15,L302,0)</f>
        <v>0</v>
      </c>
      <c r="AL302" s="64">
        <f>IF(AN302=21,L302,0)</f>
        <v>2680</v>
      </c>
      <c r="AN302" s="35">
        <v>21</v>
      </c>
      <c r="AO302" s="35">
        <f>I302*0</f>
        <v>0</v>
      </c>
      <c r="AP302" s="35">
        <f>I302*(1-0)</f>
        <v>1340</v>
      </c>
      <c r="AQ302" s="84" t="s">
        <v>144</v>
      </c>
      <c r="AV302" s="35">
        <f>AW302+AX302</f>
        <v>2680</v>
      </c>
      <c r="AW302" s="35">
        <f>H302*AO302</f>
        <v>0</v>
      </c>
      <c r="AX302" s="35">
        <f>H302*AP302</f>
        <v>2680</v>
      </c>
      <c r="AY302" s="86" t="s">
        <v>1046</v>
      </c>
      <c r="AZ302" s="86" t="s">
        <v>1063</v>
      </c>
      <c r="BA302" s="83" t="s">
        <v>1078</v>
      </c>
      <c r="BC302" s="35">
        <f>AW302+AX302</f>
        <v>2680</v>
      </c>
      <c r="BD302" s="35">
        <f>I302/(100-BE302)*100</f>
        <v>1340</v>
      </c>
      <c r="BE302" s="35">
        <v>0</v>
      </c>
      <c r="BF302" s="35">
        <f>302</f>
        <v>302</v>
      </c>
      <c r="BH302" s="64">
        <f>H302*AO302</f>
        <v>0</v>
      </c>
      <c r="BI302" s="64">
        <f>H302*AP302</f>
        <v>2680</v>
      </c>
      <c r="BJ302" s="64">
        <f>H302*I302</f>
        <v>2680</v>
      </c>
      <c r="BK302" s="64" t="s">
        <v>1086</v>
      </c>
      <c r="BL302" s="35">
        <v>751</v>
      </c>
    </row>
    <row r="303" spans="1:64" x14ac:dyDescent="0.2">
      <c r="A303" s="19"/>
      <c r="C303" s="59" t="s">
        <v>521</v>
      </c>
      <c r="D303" s="180" t="s">
        <v>904</v>
      </c>
      <c r="E303" s="181"/>
      <c r="F303" s="181"/>
      <c r="G303" s="181"/>
      <c r="H303" s="181"/>
      <c r="I303" s="182"/>
      <c r="J303" s="181"/>
      <c r="K303" s="181"/>
      <c r="L303" s="181"/>
      <c r="M303" s="183"/>
      <c r="N303" s="19"/>
    </row>
    <row r="304" spans="1:64" x14ac:dyDescent="0.2">
      <c r="A304" s="49" t="s">
        <v>272</v>
      </c>
      <c r="B304" s="57" t="s">
        <v>64</v>
      </c>
      <c r="C304" s="57" t="s">
        <v>654</v>
      </c>
      <c r="D304" s="186" t="s">
        <v>906</v>
      </c>
      <c r="E304" s="187"/>
      <c r="F304" s="187"/>
      <c r="G304" s="57" t="s">
        <v>1004</v>
      </c>
      <c r="H304" s="65">
        <v>1</v>
      </c>
      <c r="I304" s="73">
        <v>8970</v>
      </c>
      <c r="J304" s="65">
        <f>H304*AO304</f>
        <v>8970</v>
      </c>
      <c r="K304" s="65">
        <f>H304*AP304</f>
        <v>0</v>
      </c>
      <c r="L304" s="65">
        <f>H304*I304</f>
        <v>8970</v>
      </c>
      <c r="M304" s="81"/>
      <c r="N304" s="19"/>
      <c r="Z304" s="35">
        <f>IF(AQ304="5",BJ304,0)</f>
        <v>0</v>
      </c>
      <c r="AB304" s="35">
        <f>IF(AQ304="1",BH304,0)</f>
        <v>0</v>
      </c>
      <c r="AC304" s="35">
        <f>IF(AQ304="1",BI304,0)</f>
        <v>0</v>
      </c>
      <c r="AD304" s="35">
        <f>IF(AQ304="7",BH304,0)</f>
        <v>8970</v>
      </c>
      <c r="AE304" s="35">
        <f>IF(AQ304="7",BI304,0)</f>
        <v>0</v>
      </c>
      <c r="AF304" s="35">
        <f>IF(AQ304="2",BH304,0)</f>
        <v>0</v>
      </c>
      <c r="AG304" s="35">
        <f>IF(AQ304="2",BI304,0)</f>
        <v>0</v>
      </c>
      <c r="AH304" s="35">
        <f>IF(AQ304="0",BJ304,0)</f>
        <v>0</v>
      </c>
      <c r="AI304" s="83" t="s">
        <v>64</v>
      </c>
      <c r="AJ304" s="65">
        <f>IF(AN304=0,L304,0)</f>
        <v>0</v>
      </c>
      <c r="AK304" s="65">
        <f>IF(AN304=15,L304,0)</f>
        <v>0</v>
      </c>
      <c r="AL304" s="65">
        <f>IF(AN304=21,L304,0)</f>
        <v>8970</v>
      </c>
      <c r="AN304" s="35">
        <v>21</v>
      </c>
      <c r="AO304" s="35">
        <f>I304*1</f>
        <v>8970</v>
      </c>
      <c r="AP304" s="35">
        <f>I304*(1-1)</f>
        <v>0</v>
      </c>
      <c r="AQ304" s="85" t="s">
        <v>144</v>
      </c>
      <c r="AV304" s="35">
        <f>AW304+AX304</f>
        <v>8970</v>
      </c>
      <c r="AW304" s="35">
        <f>H304*AO304</f>
        <v>8970</v>
      </c>
      <c r="AX304" s="35">
        <f>H304*AP304</f>
        <v>0</v>
      </c>
      <c r="AY304" s="86" t="s">
        <v>1046</v>
      </c>
      <c r="AZ304" s="86" t="s">
        <v>1063</v>
      </c>
      <c r="BA304" s="83" t="s">
        <v>1078</v>
      </c>
      <c r="BC304" s="35">
        <f>AW304+AX304</f>
        <v>8970</v>
      </c>
      <c r="BD304" s="35">
        <f>I304/(100-BE304)*100</f>
        <v>8970</v>
      </c>
      <c r="BE304" s="35">
        <v>0</v>
      </c>
      <c r="BF304" s="35">
        <f>304</f>
        <v>304</v>
      </c>
      <c r="BH304" s="65">
        <f>H304*AO304</f>
        <v>8970</v>
      </c>
      <c r="BI304" s="65">
        <f>H304*AP304</f>
        <v>0</v>
      </c>
      <c r="BJ304" s="65">
        <f>H304*I304</f>
        <v>8970</v>
      </c>
      <c r="BK304" s="65" t="s">
        <v>1001</v>
      </c>
      <c r="BL304" s="35">
        <v>751</v>
      </c>
    </row>
    <row r="305" spans="1:64" ht="25.7" customHeight="1" x14ac:dyDescent="0.2">
      <c r="A305" s="19"/>
      <c r="C305" s="59" t="s">
        <v>521</v>
      </c>
      <c r="D305" s="180" t="s">
        <v>907</v>
      </c>
      <c r="E305" s="181"/>
      <c r="F305" s="181"/>
      <c r="G305" s="181"/>
      <c r="H305" s="181"/>
      <c r="I305" s="182"/>
      <c r="J305" s="181"/>
      <c r="K305" s="181"/>
      <c r="L305" s="181"/>
      <c r="M305" s="183"/>
      <c r="N305" s="19"/>
    </row>
    <row r="306" spans="1:64" x14ac:dyDescent="0.2">
      <c r="A306" s="49" t="s">
        <v>273</v>
      </c>
      <c r="B306" s="57" t="s">
        <v>64</v>
      </c>
      <c r="C306" s="57" t="s">
        <v>655</v>
      </c>
      <c r="D306" s="186" t="s">
        <v>908</v>
      </c>
      <c r="E306" s="187"/>
      <c r="F306" s="187"/>
      <c r="G306" s="57" t="s">
        <v>1007</v>
      </c>
      <c r="H306" s="65">
        <v>5</v>
      </c>
      <c r="I306" s="73">
        <v>332</v>
      </c>
      <c r="J306" s="65">
        <f>H306*AO306</f>
        <v>1660</v>
      </c>
      <c r="K306" s="65">
        <f>H306*AP306</f>
        <v>0</v>
      </c>
      <c r="L306" s="65">
        <f>H306*I306</f>
        <v>1660</v>
      </c>
      <c r="M306" s="81"/>
      <c r="N306" s="19"/>
      <c r="Z306" s="35">
        <f>IF(AQ306="5",BJ306,0)</f>
        <v>0</v>
      </c>
      <c r="AB306" s="35">
        <f>IF(AQ306="1",BH306,0)</f>
        <v>0</v>
      </c>
      <c r="AC306" s="35">
        <f>IF(AQ306="1",BI306,0)</f>
        <v>0</v>
      </c>
      <c r="AD306" s="35">
        <f>IF(AQ306="7",BH306,0)</f>
        <v>1660</v>
      </c>
      <c r="AE306" s="35">
        <f>IF(AQ306="7",BI306,0)</f>
        <v>0</v>
      </c>
      <c r="AF306" s="35">
        <f>IF(AQ306="2",BH306,0)</f>
        <v>0</v>
      </c>
      <c r="AG306" s="35">
        <f>IF(AQ306="2",BI306,0)</f>
        <v>0</v>
      </c>
      <c r="AH306" s="35">
        <f>IF(AQ306="0",BJ306,0)</f>
        <v>0</v>
      </c>
      <c r="AI306" s="83" t="s">
        <v>64</v>
      </c>
      <c r="AJ306" s="65">
        <f>IF(AN306=0,L306,0)</f>
        <v>0</v>
      </c>
      <c r="AK306" s="65">
        <f>IF(AN306=15,L306,0)</f>
        <v>0</v>
      </c>
      <c r="AL306" s="65">
        <f>IF(AN306=21,L306,0)</f>
        <v>1660</v>
      </c>
      <c r="AN306" s="35">
        <v>21</v>
      </c>
      <c r="AO306" s="35">
        <f>I306*1</f>
        <v>332</v>
      </c>
      <c r="AP306" s="35">
        <f>I306*(1-1)</f>
        <v>0</v>
      </c>
      <c r="AQ306" s="85" t="s">
        <v>144</v>
      </c>
      <c r="AV306" s="35">
        <f>AW306+AX306</f>
        <v>1660</v>
      </c>
      <c r="AW306" s="35">
        <f>H306*AO306</f>
        <v>1660</v>
      </c>
      <c r="AX306" s="35">
        <f>H306*AP306</f>
        <v>0</v>
      </c>
      <c r="AY306" s="86" t="s">
        <v>1046</v>
      </c>
      <c r="AZ306" s="86" t="s">
        <v>1063</v>
      </c>
      <c r="BA306" s="83" t="s">
        <v>1078</v>
      </c>
      <c r="BC306" s="35">
        <f>AW306+AX306</f>
        <v>1660</v>
      </c>
      <c r="BD306" s="35">
        <f>I306/(100-BE306)*100</f>
        <v>332</v>
      </c>
      <c r="BE306" s="35">
        <v>0</v>
      </c>
      <c r="BF306" s="35">
        <f>306</f>
        <v>306</v>
      </c>
      <c r="BH306" s="65">
        <f>H306*AO306</f>
        <v>1660</v>
      </c>
      <c r="BI306" s="65">
        <f>H306*AP306</f>
        <v>0</v>
      </c>
      <c r="BJ306" s="65">
        <f>H306*I306</f>
        <v>1660</v>
      </c>
      <c r="BK306" s="65" t="s">
        <v>1001</v>
      </c>
      <c r="BL306" s="35">
        <v>751</v>
      </c>
    </row>
    <row r="307" spans="1:64" x14ac:dyDescent="0.2">
      <c r="A307" s="19"/>
      <c r="C307" s="59" t="s">
        <v>521</v>
      </c>
      <c r="D307" s="180" t="s">
        <v>908</v>
      </c>
      <c r="E307" s="181"/>
      <c r="F307" s="181"/>
      <c r="G307" s="181"/>
      <c r="H307" s="181"/>
      <c r="I307" s="182"/>
      <c r="J307" s="181"/>
      <c r="K307" s="181"/>
      <c r="L307" s="181"/>
      <c r="M307" s="183"/>
      <c r="N307" s="19"/>
    </row>
    <row r="308" spans="1:64" x14ac:dyDescent="0.2">
      <c r="A308" s="47" t="s">
        <v>274</v>
      </c>
      <c r="B308" s="55" t="s">
        <v>64</v>
      </c>
      <c r="C308" s="55" t="s">
        <v>656</v>
      </c>
      <c r="D308" s="178" t="s">
        <v>909</v>
      </c>
      <c r="E308" s="179"/>
      <c r="F308" s="179"/>
      <c r="G308" s="55" t="s">
        <v>1002</v>
      </c>
      <c r="H308" s="64">
        <v>1</v>
      </c>
      <c r="I308" s="71">
        <v>2670</v>
      </c>
      <c r="J308" s="64">
        <f>H308*AO308</f>
        <v>0</v>
      </c>
      <c r="K308" s="64">
        <f>H308*AP308</f>
        <v>2670</v>
      </c>
      <c r="L308" s="64">
        <f>H308*I308</f>
        <v>2670</v>
      </c>
      <c r="M308" s="79"/>
      <c r="N308" s="19"/>
      <c r="Z308" s="35">
        <f>IF(AQ308="5",BJ308,0)</f>
        <v>0</v>
      </c>
      <c r="AB308" s="35">
        <f>IF(AQ308="1",BH308,0)</f>
        <v>0</v>
      </c>
      <c r="AC308" s="35">
        <f>IF(AQ308="1",BI308,0)</f>
        <v>0</v>
      </c>
      <c r="AD308" s="35">
        <f>IF(AQ308="7",BH308,0)</f>
        <v>0</v>
      </c>
      <c r="AE308" s="35">
        <f>IF(AQ308="7",BI308,0)</f>
        <v>2670</v>
      </c>
      <c r="AF308" s="35">
        <f>IF(AQ308="2",BH308,0)</f>
        <v>0</v>
      </c>
      <c r="AG308" s="35">
        <f>IF(AQ308="2",BI308,0)</f>
        <v>0</v>
      </c>
      <c r="AH308" s="35">
        <f>IF(AQ308="0",BJ308,0)</f>
        <v>0</v>
      </c>
      <c r="AI308" s="83" t="s">
        <v>64</v>
      </c>
      <c r="AJ308" s="64">
        <f>IF(AN308=0,L308,0)</f>
        <v>0</v>
      </c>
      <c r="AK308" s="64">
        <f>IF(AN308=15,L308,0)</f>
        <v>0</v>
      </c>
      <c r="AL308" s="64">
        <f>IF(AN308=21,L308,0)</f>
        <v>2670</v>
      </c>
      <c r="AN308" s="35">
        <v>21</v>
      </c>
      <c r="AO308" s="35">
        <f>I308*0</f>
        <v>0</v>
      </c>
      <c r="AP308" s="35">
        <f>I308*(1-0)</f>
        <v>2670</v>
      </c>
      <c r="AQ308" s="84" t="s">
        <v>144</v>
      </c>
      <c r="AV308" s="35">
        <f>AW308+AX308</f>
        <v>2670</v>
      </c>
      <c r="AW308" s="35">
        <f>H308*AO308</f>
        <v>0</v>
      </c>
      <c r="AX308" s="35">
        <f>H308*AP308</f>
        <v>2670</v>
      </c>
      <c r="AY308" s="86" t="s">
        <v>1046</v>
      </c>
      <c r="AZ308" s="86" t="s">
        <v>1063</v>
      </c>
      <c r="BA308" s="83" t="s">
        <v>1078</v>
      </c>
      <c r="BC308" s="35">
        <f>AW308+AX308</f>
        <v>2670</v>
      </c>
      <c r="BD308" s="35">
        <f>I308/(100-BE308)*100</f>
        <v>2670</v>
      </c>
      <c r="BE308" s="35">
        <v>0</v>
      </c>
      <c r="BF308" s="35">
        <f>308</f>
        <v>308</v>
      </c>
      <c r="BH308" s="64">
        <f>H308*AO308</f>
        <v>0</v>
      </c>
      <c r="BI308" s="64">
        <f>H308*AP308</f>
        <v>2670</v>
      </c>
      <c r="BJ308" s="64">
        <f>H308*I308</f>
        <v>2670</v>
      </c>
      <c r="BK308" s="64" t="s">
        <v>1086</v>
      </c>
      <c r="BL308" s="35">
        <v>751</v>
      </c>
    </row>
    <row r="309" spans="1:64" x14ac:dyDescent="0.2">
      <c r="A309" s="19"/>
      <c r="C309" s="59" t="s">
        <v>521</v>
      </c>
      <c r="D309" s="180" t="s">
        <v>909</v>
      </c>
      <c r="E309" s="181"/>
      <c r="F309" s="181"/>
      <c r="G309" s="181"/>
      <c r="H309" s="181"/>
      <c r="I309" s="182"/>
      <c r="J309" s="181"/>
      <c r="K309" s="181"/>
      <c r="L309" s="181"/>
      <c r="M309" s="183"/>
      <c r="N309" s="19"/>
    </row>
    <row r="310" spans="1:64" x14ac:dyDescent="0.2">
      <c r="A310" s="49" t="s">
        <v>275</v>
      </c>
      <c r="B310" s="57" t="s">
        <v>64</v>
      </c>
      <c r="C310" s="57" t="s">
        <v>657</v>
      </c>
      <c r="D310" s="186" t="s">
        <v>910</v>
      </c>
      <c r="E310" s="187"/>
      <c r="F310" s="187"/>
      <c r="G310" s="57" t="s">
        <v>1004</v>
      </c>
      <c r="H310" s="65">
        <v>2</v>
      </c>
      <c r="I310" s="73">
        <v>8780</v>
      </c>
      <c r="J310" s="65">
        <f>H310*AO310</f>
        <v>17560</v>
      </c>
      <c r="K310" s="65">
        <f>H310*AP310</f>
        <v>0</v>
      </c>
      <c r="L310" s="65">
        <f>H310*I310</f>
        <v>17560</v>
      </c>
      <c r="M310" s="81"/>
      <c r="N310" s="19"/>
      <c r="Z310" s="35">
        <f>IF(AQ310="5",BJ310,0)</f>
        <v>0</v>
      </c>
      <c r="AB310" s="35">
        <f>IF(AQ310="1",BH310,0)</f>
        <v>0</v>
      </c>
      <c r="AC310" s="35">
        <f>IF(AQ310="1",BI310,0)</f>
        <v>0</v>
      </c>
      <c r="AD310" s="35">
        <f>IF(AQ310="7",BH310,0)</f>
        <v>17560</v>
      </c>
      <c r="AE310" s="35">
        <f>IF(AQ310="7",BI310,0)</f>
        <v>0</v>
      </c>
      <c r="AF310" s="35">
        <f>IF(AQ310="2",BH310,0)</f>
        <v>0</v>
      </c>
      <c r="AG310" s="35">
        <f>IF(AQ310="2",BI310,0)</f>
        <v>0</v>
      </c>
      <c r="AH310" s="35">
        <f>IF(AQ310="0",BJ310,0)</f>
        <v>0</v>
      </c>
      <c r="AI310" s="83" t="s">
        <v>64</v>
      </c>
      <c r="AJ310" s="65">
        <f>IF(AN310=0,L310,0)</f>
        <v>0</v>
      </c>
      <c r="AK310" s="65">
        <f>IF(AN310=15,L310,0)</f>
        <v>0</v>
      </c>
      <c r="AL310" s="65">
        <f>IF(AN310=21,L310,0)</f>
        <v>17560</v>
      </c>
      <c r="AN310" s="35">
        <v>21</v>
      </c>
      <c r="AO310" s="35">
        <f>I310*1</f>
        <v>8780</v>
      </c>
      <c r="AP310" s="35">
        <f>I310*(1-1)</f>
        <v>0</v>
      </c>
      <c r="AQ310" s="85" t="s">
        <v>144</v>
      </c>
      <c r="AV310" s="35">
        <f>AW310+AX310</f>
        <v>17560</v>
      </c>
      <c r="AW310" s="35">
        <f>H310*AO310</f>
        <v>17560</v>
      </c>
      <c r="AX310" s="35">
        <f>H310*AP310</f>
        <v>0</v>
      </c>
      <c r="AY310" s="86" t="s">
        <v>1046</v>
      </c>
      <c r="AZ310" s="86" t="s">
        <v>1063</v>
      </c>
      <c r="BA310" s="83" t="s">
        <v>1078</v>
      </c>
      <c r="BC310" s="35">
        <f>AW310+AX310</f>
        <v>17560</v>
      </c>
      <c r="BD310" s="35">
        <f>I310/(100-BE310)*100</f>
        <v>8780</v>
      </c>
      <c r="BE310" s="35">
        <v>0</v>
      </c>
      <c r="BF310" s="35">
        <f>310</f>
        <v>310</v>
      </c>
      <c r="BH310" s="65">
        <f>H310*AO310</f>
        <v>17560</v>
      </c>
      <c r="BI310" s="65">
        <f>H310*AP310</f>
        <v>0</v>
      </c>
      <c r="BJ310" s="65">
        <f>H310*I310</f>
        <v>17560</v>
      </c>
      <c r="BK310" s="65" t="s">
        <v>1001</v>
      </c>
      <c r="BL310" s="35">
        <v>751</v>
      </c>
    </row>
    <row r="311" spans="1:64" x14ac:dyDescent="0.2">
      <c r="A311" s="19"/>
      <c r="C311" s="59" t="s">
        <v>521</v>
      </c>
      <c r="D311" s="180" t="s">
        <v>910</v>
      </c>
      <c r="E311" s="181"/>
      <c r="F311" s="181"/>
      <c r="G311" s="181"/>
      <c r="H311" s="181"/>
      <c r="I311" s="182"/>
      <c r="J311" s="181"/>
      <c r="K311" s="181"/>
      <c r="L311" s="181"/>
      <c r="M311" s="183"/>
      <c r="N311" s="19"/>
    </row>
    <row r="312" spans="1:64" x14ac:dyDescent="0.2">
      <c r="A312" s="47" t="s">
        <v>276</v>
      </c>
      <c r="B312" s="55" t="s">
        <v>64</v>
      </c>
      <c r="C312" s="55" t="s">
        <v>582</v>
      </c>
      <c r="D312" s="178" t="s">
        <v>911</v>
      </c>
      <c r="E312" s="179"/>
      <c r="F312" s="179"/>
      <c r="G312" s="55" t="s">
        <v>1003</v>
      </c>
      <c r="H312" s="64">
        <v>2</v>
      </c>
      <c r="I312" s="71">
        <v>785</v>
      </c>
      <c r="J312" s="64">
        <f>H312*AO312</f>
        <v>0</v>
      </c>
      <c r="K312" s="64">
        <f>H312*AP312</f>
        <v>1570</v>
      </c>
      <c r="L312" s="64">
        <f>H312*I312</f>
        <v>1570</v>
      </c>
      <c r="M312" s="79" t="s">
        <v>1021</v>
      </c>
      <c r="N312" s="19"/>
      <c r="Z312" s="35">
        <f>IF(AQ312="5",BJ312,0)</f>
        <v>0</v>
      </c>
      <c r="AB312" s="35">
        <f>IF(AQ312="1",BH312,0)</f>
        <v>0</v>
      </c>
      <c r="AC312" s="35">
        <f>IF(AQ312="1",BI312,0)</f>
        <v>0</v>
      </c>
      <c r="AD312" s="35">
        <f>IF(AQ312="7",BH312,0)</f>
        <v>0</v>
      </c>
      <c r="AE312" s="35">
        <f>IF(AQ312="7",BI312,0)</f>
        <v>1570</v>
      </c>
      <c r="AF312" s="35">
        <f>IF(AQ312="2",BH312,0)</f>
        <v>0</v>
      </c>
      <c r="AG312" s="35">
        <f>IF(AQ312="2",BI312,0)</f>
        <v>0</v>
      </c>
      <c r="AH312" s="35">
        <f>IF(AQ312="0",BJ312,0)</f>
        <v>0</v>
      </c>
      <c r="AI312" s="83" t="s">
        <v>64</v>
      </c>
      <c r="AJ312" s="64">
        <f>IF(AN312=0,L312,0)</f>
        <v>0</v>
      </c>
      <c r="AK312" s="64">
        <f>IF(AN312=15,L312,0)</f>
        <v>0</v>
      </c>
      <c r="AL312" s="64">
        <f>IF(AN312=21,L312,0)</f>
        <v>1570</v>
      </c>
      <c r="AN312" s="35">
        <v>21</v>
      </c>
      <c r="AO312" s="35">
        <f>I312*0</f>
        <v>0</v>
      </c>
      <c r="AP312" s="35">
        <f>I312*(1-0)</f>
        <v>785</v>
      </c>
      <c r="AQ312" s="84" t="s">
        <v>144</v>
      </c>
      <c r="AV312" s="35">
        <f>AW312+AX312</f>
        <v>1570</v>
      </c>
      <c r="AW312" s="35">
        <f>H312*AO312</f>
        <v>0</v>
      </c>
      <c r="AX312" s="35">
        <f>H312*AP312</f>
        <v>1570</v>
      </c>
      <c r="AY312" s="86" t="s">
        <v>1046</v>
      </c>
      <c r="AZ312" s="86" t="s">
        <v>1063</v>
      </c>
      <c r="BA312" s="83" t="s">
        <v>1078</v>
      </c>
      <c r="BC312" s="35">
        <f>AW312+AX312</f>
        <v>1570</v>
      </c>
      <c r="BD312" s="35">
        <f>I312/(100-BE312)*100</f>
        <v>785</v>
      </c>
      <c r="BE312" s="35">
        <v>0</v>
      </c>
      <c r="BF312" s="35">
        <f>312</f>
        <v>312</v>
      </c>
      <c r="BH312" s="64">
        <f>H312*AO312</f>
        <v>0</v>
      </c>
      <c r="BI312" s="64">
        <f>H312*AP312</f>
        <v>1570</v>
      </c>
      <c r="BJ312" s="64">
        <f>H312*I312</f>
        <v>1570</v>
      </c>
      <c r="BK312" s="64" t="s">
        <v>1086</v>
      </c>
      <c r="BL312" s="35">
        <v>751</v>
      </c>
    </row>
    <row r="313" spans="1:64" x14ac:dyDescent="0.2">
      <c r="A313" s="19"/>
      <c r="C313" s="59" t="s">
        <v>521</v>
      </c>
      <c r="D313" s="180" t="s">
        <v>911</v>
      </c>
      <c r="E313" s="181"/>
      <c r="F313" s="181"/>
      <c r="G313" s="181"/>
      <c r="H313" s="181"/>
      <c r="I313" s="182"/>
      <c r="J313" s="181"/>
      <c r="K313" s="181"/>
      <c r="L313" s="181"/>
      <c r="M313" s="183"/>
      <c r="N313" s="19"/>
    </row>
    <row r="314" spans="1:64" x14ac:dyDescent="0.2">
      <c r="A314" s="47" t="s">
        <v>277</v>
      </c>
      <c r="B314" s="55" t="s">
        <v>64</v>
      </c>
      <c r="C314" s="55" t="s">
        <v>658</v>
      </c>
      <c r="D314" s="178" t="s">
        <v>912</v>
      </c>
      <c r="E314" s="179"/>
      <c r="F314" s="179"/>
      <c r="G314" s="55" t="s">
        <v>1001</v>
      </c>
      <c r="H314" s="64">
        <v>8</v>
      </c>
      <c r="I314" s="71">
        <v>151</v>
      </c>
      <c r="J314" s="64">
        <f>H314*AO314</f>
        <v>0</v>
      </c>
      <c r="K314" s="64">
        <f>H314*AP314</f>
        <v>1208</v>
      </c>
      <c r="L314" s="64">
        <f>H314*I314</f>
        <v>1208</v>
      </c>
      <c r="M314" s="79"/>
      <c r="N314" s="19"/>
      <c r="Z314" s="35">
        <f>IF(AQ314="5",BJ314,0)</f>
        <v>0</v>
      </c>
      <c r="AB314" s="35">
        <f>IF(AQ314="1",BH314,0)</f>
        <v>0</v>
      </c>
      <c r="AC314" s="35">
        <f>IF(AQ314="1",BI314,0)</f>
        <v>0</v>
      </c>
      <c r="AD314" s="35">
        <f>IF(AQ314="7",BH314,0)</f>
        <v>0</v>
      </c>
      <c r="AE314" s="35">
        <f>IF(AQ314="7",BI314,0)</f>
        <v>1208</v>
      </c>
      <c r="AF314" s="35">
        <f>IF(AQ314="2",BH314,0)</f>
        <v>0</v>
      </c>
      <c r="AG314" s="35">
        <f>IF(AQ314="2",BI314,0)</f>
        <v>0</v>
      </c>
      <c r="AH314" s="35">
        <f>IF(AQ314="0",BJ314,0)</f>
        <v>0</v>
      </c>
      <c r="AI314" s="83" t="s">
        <v>64</v>
      </c>
      <c r="AJ314" s="64">
        <f>IF(AN314=0,L314,0)</f>
        <v>0</v>
      </c>
      <c r="AK314" s="64">
        <f>IF(AN314=15,L314,0)</f>
        <v>0</v>
      </c>
      <c r="AL314" s="64">
        <f>IF(AN314=21,L314,0)</f>
        <v>1208</v>
      </c>
      <c r="AN314" s="35">
        <v>21</v>
      </c>
      <c r="AO314" s="35">
        <f>I314*0</f>
        <v>0</v>
      </c>
      <c r="AP314" s="35">
        <f>I314*(1-0)</f>
        <v>151</v>
      </c>
      <c r="AQ314" s="84" t="s">
        <v>144</v>
      </c>
      <c r="AV314" s="35">
        <f>AW314+AX314</f>
        <v>1208</v>
      </c>
      <c r="AW314" s="35">
        <f>H314*AO314</f>
        <v>0</v>
      </c>
      <c r="AX314" s="35">
        <f>H314*AP314</f>
        <v>1208</v>
      </c>
      <c r="AY314" s="86" t="s">
        <v>1046</v>
      </c>
      <c r="AZ314" s="86" t="s">
        <v>1063</v>
      </c>
      <c r="BA314" s="83" t="s">
        <v>1078</v>
      </c>
      <c r="BC314" s="35">
        <f>AW314+AX314</f>
        <v>1208</v>
      </c>
      <c r="BD314" s="35">
        <f>I314/(100-BE314)*100</f>
        <v>151</v>
      </c>
      <c r="BE314" s="35">
        <v>0</v>
      </c>
      <c r="BF314" s="35">
        <f>314</f>
        <v>314</v>
      </c>
      <c r="BH314" s="64">
        <f>H314*AO314</f>
        <v>0</v>
      </c>
      <c r="BI314" s="64">
        <f>H314*AP314</f>
        <v>1208</v>
      </c>
      <c r="BJ314" s="64">
        <f>H314*I314</f>
        <v>1208</v>
      </c>
      <c r="BK314" s="64" t="s">
        <v>1086</v>
      </c>
      <c r="BL314" s="35">
        <v>751</v>
      </c>
    </row>
    <row r="315" spans="1:64" x14ac:dyDescent="0.2">
      <c r="A315" s="19"/>
      <c r="C315" s="59" t="s">
        <v>521</v>
      </c>
      <c r="D315" s="180" t="s">
        <v>912</v>
      </c>
      <c r="E315" s="181"/>
      <c r="F315" s="181"/>
      <c r="G315" s="181"/>
      <c r="H315" s="181"/>
      <c r="I315" s="182"/>
      <c r="J315" s="181"/>
      <c r="K315" s="181"/>
      <c r="L315" s="181"/>
      <c r="M315" s="183"/>
      <c r="N315" s="19"/>
    </row>
    <row r="316" spans="1:64" x14ac:dyDescent="0.2">
      <c r="A316" s="49" t="s">
        <v>278</v>
      </c>
      <c r="B316" s="57" t="s">
        <v>64</v>
      </c>
      <c r="C316" s="57" t="s">
        <v>659</v>
      </c>
      <c r="D316" s="186" t="s">
        <v>913</v>
      </c>
      <c r="E316" s="187"/>
      <c r="F316" s="187"/>
      <c r="G316" s="57" t="s">
        <v>1001</v>
      </c>
      <c r="H316" s="65">
        <v>8</v>
      </c>
      <c r="I316" s="73">
        <v>210</v>
      </c>
      <c r="J316" s="65">
        <f>H316*AO316</f>
        <v>1680</v>
      </c>
      <c r="K316" s="65">
        <f>H316*AP316</f>
        <v>0</v>
      </c>
      <c r="L316" s="65">
        <f>H316*I316</f>
        <v>1680</v>
      </c>
      <c r="M316" s="81"/>
      <c r="N316" s="19"/>
      <c r="Z316" s="35">
        <f>IF(AQ316="5",BJ316,0)</f>
        <v>0</v>
      </c>
      <c r="AB316" s="35">
        <f>IF(AQ316="1",BH316,0)</f>
        <v>0</v>
      </c>
      <c r="AC316" s="35">
        <f>IF(AQ316="1",BI316,0)</f>
        <v>0</v>
      </c>
      <c r="AD316" s="35">
        <f>IF(AQ316="7",BH316,0)</f>
        <v>1680</v>
      </c>
      <c r="AE316" s="35">
        <f>IF(AQ316="7",BI316,0)</f>
        <v>0</v>
      </c>
      <c r="AF316" s="35">
        <f>IF(AQ316="2",BH316,0)</f>
        <v>0</v>
      </c>
      <c r="AG316" s="35">
        <f>IF(AQ316="2",BI316,0)</f>
        <v>0</v>
      </c>
      <c r="AH316" s="35">
        <f>IF(AQ316="0",BJ316,0)</f>
        <v>0</v>
      </c>
      <c r="AI316" s="83" t="s">
        <v>64</v>
      </c>
      <c r="AJ316" s="65">
        <f>IF(AN316=0,L316,0)</f>
        <v>0</v>
      </c>
      <c r="AK316" s="65">
        <f>IF(AN316=15,L316,0)</f>
        <v>0</v>
      </c>
      <c r="AL316" s="65">
        <f>IF(AN316=21,L316,0)</f>
        <v>1680</v>
      </c>
      <c r="AN316" s="35">
        <v>21</v>
      </c>
      <c r="AO316" s="35">
        <f>I316*1</f>
        <v>210</v>
      </c>
      <c r="AP316" s="35">
        <f>I316*(1-1)</f>
        <v>0</v>
      </c>
      <c r="AQ316" s="85" t="s">
        <v>144</v>
      </c>
      <c r="AV316" s="35">
        <f>AW316+AX316</f>
        <v>1680</v>
      </c>
      <c r="AW316" s="35">
        <f>H316*AO316</f>
        <v>1680</v>
      </c>
      <c r="AX316" s="35">
        <f>H316*AP316</f>
        <v>0</v>
      </c>
      <c r="AY316" s="86" t="s">
        <v>1046</v>
      </c>
      <c r="AZ316" s="86" t="s">
        <v>1063</v>
      </c>
      <c r="BA316" s="83" t="s">
        <v>1078</v>
      </c>
      <c r="BC316" s="35">
        <f>AW316+AX316</f>
        <v>1680</v>
      </c>
      <c r="BD316" s="35">
        <f>I316/(100-BE316)*100</f>
        <v>210</v>
      </c>
      <c r="BE316" s="35">
        <v>0</v>
      </c>
      <c r="BF316" s="35">
        <f>316</f>
        <v>316</v>
      </c>
      <c r="BH316" s="65">
        <f>H316*AO316</f>
        <v>1680</v>
      </c>
      <c r="BI316" s="65">
        <f>H316*AP316</f>
        <v>0</v>
      </c>
      <c r="BJ316" s="65">
        <f>H316*I316</f>
        <v>1680</v>
      </c>
      <c r="BK316" s="65" t="s">
        <v>1001</v>
      </c>
      <c r="BL316" s="35">
        <v>751</v>
      </c>
    </row>
    <row r="317" spans="1:64" x14ac:dyDescent="0.2">
      <c r="A317" s="19"/>
      <c r="C317" s="59" t="s">
        <v>521</v>
      </c>
      <c r="D317" s="180" t="s">
        <v>913</v>
      </c>
      <c r="E317" s="181"/>
      <c r="F317" s="181"/>
      <c r="G317" s="181"/>
      <c r="H317" s="181"/>
      <c r="I317" s="182"/>
      <c r="J317" s="181"/>
      <c r="K317" s="181"/>
      <c r="L317" s="181"/>
      <c r="M317" s="183"/>
      <c r="N317" s="19"/>
    </row>
    <row r="318" spans="1:64" x14ac:dyDescent="0.2">
      <c r="A318" s="47" t="s">
        <v>279</v>
      </c>
      <c r="B318" s="55" t="s">
        <v>64</v>
      </c>
      <c r="C318" s="55" t="s">
        <v>660</v>
      </c>
      <c r="D318" s="178" t="s">
        <v>914</v>
      </c>
      <c r="E318" s="179"/>
      <c r="F318" s="179"/>
      <c r="G318" s="55" t="s">
        <v>1001</v>
      </c>
      <c r="H318" s="64">
        <v>6</v>
      </c>
      <c r="I318" s="71">
        <v>105</v>
      </c>
      <c r="J318" s="64">
        <f>H318*AO318</f>
        <v>0</v>
      </c>
      <c r="K318" s="64">
        <f>H318*AP318</f>
        <v>630</v>
      </c>
      <c r="L318" s="64">
        <f>H318*I318</f>
        <v>630</v>
      </c>
      <c r="M318" s="79"/>
      <c r="N318" s="19"/>
      <c r="Z318" s="35">
        <f>IF(AQ318="5",BJ318,0)</f>
        <v>0</v>
      </c>
      <c r="AB318" s="35">
        <f>IF(AQ318="1",BH318,0)</f>
        <v>0</v>
      </c>
      <c r="AC318" s="35">
        <f>IF(AQ318="1",BI318,0)</f>
        <v>0</v>
      </c>
      <c r="AD318" s="35">
        <f>IF(AQ318="7",BH318,0)</f>
        <v>0</v>
      </c>
      <c r="AE318" s="35">
        <f>IF(AQ318="7",BI318,0)</f>
        <v>630</v>
      </c>
      <c r="AF318" s="35">
        <f>IF(AQ318="2",BH318,0)</f>
        <v>0</v>
      </c>
      <c r="AG318" s="35">
        <f>IF(AQ318="2",BI318,0)</f>
        <v>0</v>
      </c>
      <c r="AH318" s="35">
        <f>IF(AQ318="0",BJ318,0)</f>
        <v>0</v>
      </c>
      <c r="AI318" s="83" t="s">
        <v>64</v>
      </c>
      <c r="AJ318" s="64">
        <f>IF(AN318=0,L318,0)</f>
        <v>0</v>
      </c>
      <c r="AK318" s="64">
        <f>IF(AN318=15,L318,0)</f>
        <v>0</v>
      </c>
      <c r="AL318" s="64">
        <f>IF(AN318=21,L318,0)</f>
        <v>630</v>
      </c>
      <c r="AN318" s="35">
        <v>21</v>
      </c>
      <c r="AO318" s="35">
        <f>I318*0</f>
        <v>0</v>
      </c>
      <c r="AP318" s="35">
        <f>I318*(1-0)</f>
        <v>105</v>
      </c>
      <c r="AQ318" s="84" t="s">
        <v>144</v>
      </c>
      <c r="AV318" s="35">
        <f>AW318+AX318</f>
        <v>630</v>
      </c>
      <c r="AW318" s="35">
        <f>H318*AO318</f>
        <v>0</v>
      </c>
      <c r="AX318" s="35">
        <f>H318*AP318</f>
        <v>630</v>
      </c>
      <c r="AY318" s="86" t="s">
        <v>1046</v>
      </c>
      <c r="AZ318" s="86" t="s">
        <v>1063</v>
      </c>
      <c r="BA318" s="83" t="s">
        <v>1078</v>
      </c>
      <c r="BC318" s="35">
        <f>AW318+AX318</f>
        <v>630</v>
      </c>
      <c r="BD318" s="35">
        <f>I318/(100-BE318)*100</f>
        <v>105</v>
      </c>
      <c r="BE318" s="35">
        <v>0</v>
      </c>
      <c r="BF318" s="35">
        <f>318</f>
        <v>318</v>
      </c>
      <c r="BH318" s="64">
        <f>H318*AO318</f>
        <v>0</v>
      </c>
      <c r="BI318" s="64">
        <f>H318*AP318</f>
        <v>630</v>
      </c>
      <c r="BJ318" s="64">
        <f>H318*I318</f>
        <v>630</v>
      </c>
      <c r="BK318" s="64" t="s">
        <v>1086</v>
      </c>
      <c r="BL318" s="35">
        <v>751</v>
      </c>
    </row>
    <row r="319" spans="1:64" x14ac:dyDescent="0.2">
      <c r="A319" s="19"/>
      <c r="C319" s="59" t="s">
        <v>521</v>
      </c>
      <c r="D319" s="180" t="s">
        <v>915</v>
      </c>
      <c r="E319" s="181"/>
      <c r="F319" s="181"/>
      <c r="G319" s="181"/>
      <c r="H319" s="181"/>
      <c r="I319" s="182"/>
      <c r="J319" s="181"/>
      <c r="K319" s="181"/>
      <c r="L319" s="181"/>
      <c r="M319" s="183"/>
      <c r="N319" s="19"/>
    </row>
    <row r="320" spans="1:64" x14ac:dyDescent="0.2">
      <c r="A320" s="49" t="s">
        <v>280</v>
      </c>
      <c r="B320" s="57" t="s">
        <v>64</v>
      </c>
      <c r="C320" s="57" t="s">
        <v>661</v>
      </c>
      <c r="D320" s="186" t="s">
        <v>916</v>
      </c>
      <c r="E320" s="187"/>
      <c r="F320" s="187"/>
      <c r="G320" s="57" t="s">
        <v>1001</v>
      </c>
      <c r="H320" s="65">
        <v>6</v>
      </c>
      <c r="I320" s="73">
        <v>288</v>
      </c>
      <c r="J320" s="65">
        <f>H320*AO320</f>
        <v>1728</v>
      </c>
      <c r="K320" s="65">
        <f>H320*AP320</f>
        <v>0</v>
      </c>
      <c r="L320" s="65">
        <f>H320*I320</f>
        <v>1728</v>
      </c>
      <c r="M320" s="81"/>
      <c r="N320" s="19"/>
      <c r="Z320" s="35">
        <f>IF(AQ320="5",BJ320,0)</f>
        <v>0</v>
      </c>
      <c r="AB320" s="35">
        <f>IF(AQ320="1",BH320,0)</f>
        <v>0</v>
      </c>
      <c r="AC320" s="35">
        <f>IF(AQ320="1",BI320,0)</f>
        <v>0</v>
      </c>
      <c r="AD320" s="35">
        <f>IF(AQ320="7",BH320,0)</f>
        <v>1728</v>
      </c>
      <c r="AE320" s="35">
        <f>IF(AQ320="7",BI320,0)</f>
        <v>0</v>
      </c>
      <c r="AF320" s="35">
        <f>IF(AQ320="2",BH320,0)</f>
        <v>0</v>
      </c>
      <c r="AG320" s="35">
        <f>IF(AQ320="2",BI320,0)</f>
        <v>0</v>
      </c>
      <c r="AH320" s="35">
        <f>IF(AQ320="0",BJ320,0)</f>
        <v>0</v>
      </c>
      <c r="AI320" s="83" t="s">
        <v>64</v>
      </c>
      <c r="AJ320" s="65">
        <f>IF(AN320=0,L320,0)</f>
        <v>0</v>
      </c>
      <c r="AK320" s="65">
        <f>IF(AN320=15,L320,0)</f>
        <v>0</v>
      </c>
      <c r="AL320" s="65">
        <f>IF(AN320=21,L320,0)</f>
        <v>1728</v>
      </c>
      <c r="AN320" s="35">
        <v>21</v>
      </c>
      <c r="AO320" s="35">
        <f>I320*1</f>
        <v>288</v>
      </c>
      <c r="AP320" s="35">
        <f>I320*(1-1)</f>
        <v>0</v>
      </c>
      <c r="AQ320" s="85" t="s">
        <v>144</v>
      </c>
      <c r="AV320" s="35">
        <f>AW320+AX320</f>
        <v>1728</v>
      </c>
      <c r="AW320" s="35">
        <f>H320*AO320</f>
        <v>1728</v>
      </c>
      <c r="AX320" s="35">
        <f>H320*AP320</f>
        <v>0</v>
      </c>
      <c r="AY320" s="86" t="s">
        <v>1046</v>
      </c>
      <c r="AZ320" s="86" t="s">
        <v>1063</v>
      </c>
      <c r="BA320" s="83" t="s">
        <v>1078</v>
      </c>
      <c r="BC320" s="35">
        <f>AW320+AX320</f>
        <v>1728</v>
      </c>
      <c r="BD320" s="35">
        <f>I320/(100-BE320)*100</f>
        <v>288</v>
      </c>
      <c r="BE320" s="35">
        <v>0</v>
      </c>
      <c r="BF320" s="35">
        <f>320</f>
        <v>320</v>
      </c>
      <c r="BH320" s="65">
        <f>H320*AO320</f>
        <v>1728</v>
      </c>
      <c r="BI320" s="65">
        <f>H320*AP320</f>
        <v>0</v>
      </c>
      <c r="BJ320" s="65">
        <f>H320*I320</f>
        <v>1728</v>
      </c>
      <c r="BK320" s="65" t="s">
        <v>1001</v>
      </c>
      <c r="BL320" s="35">
        <v>751</v>
      </c>
    </row>
    <row r="321" spans="1:64" x14ac:dyDescent="0.2">
      <c r="A321" s="19"/>
      <c r="C321" s="59" t="s">
        <v>521</v>
      </c>
      <c r="D321" s="180" t="s">
        <v>916</v>
      </c>
      <c r="E321" s="181"/>
      <c r="F321" s="181"/>
      <c r="G321" s="181"/>
      <c r="H321" s="181"/>
      <c r="I321" s="182"/>
      <c r="J321" s="181"/>
      <c r="K321" s="181"/>
      <c r="L321" s="181"/>
      <c r="M321" s="183"/>
      <c r="N321" s="19"/>
    </row>
    <row r="322" spans="1:64" x14ac:dyDescent="0.2">
      <c r="A322" s="49" t="s">
        <v>281</v>
      </c>
      <c r="B322" s="57" t="s">
        <v>64</v>
      </c>
      <c r="C322" s="57" t="s">
        <v>662</v>
      </c>
      <c r="D322" s="186" t="s">
        <v>917</v>
      </c>
      <c r="E322" s="187"/>
      <c r="F322" s="187"/>
      <c r="G322" s="57" t="s">
        <v>1007</v>
      </c>
      <c r="H322" s="65">
        <v>1</v>
      </c>
      <c r="I322" s="73">
        <v>440</v>
      </c>
      <c r="J322" s="65">
        <f>H322*AO322</f>
        <v>440</v>
      </c>
      <c r="K322" s="65">
        <f>H322*AP322</f>
        <v>0</v>
      </c>
      <c r="L322" s="65">
        <f>H322*I322</f>
        <v>440</v>
      </c>
      <c r="M322" s="81"/>
      <c r="N322" s="19"/>
      <c r="Z322" s="35">
        <f>IF(AQ322="5",BJ322,0)</f>
        <v>0</v>
      </c>
      <c r="AB322" s="35">
        <f>IF(AQ322="1",BH322,0)</f>
        <v>0</v>
      </c>
      <c r="AC322" s="35">
        <f>IF(AQ322="1",BI322,0)</f>
        <v>0</v>
      </c>
      <c r="AD322" s="35">
        <f>IF(AQ322="7",BH322,0)</f>
        <v>440</v>
      </c>
      <c r="AE322" s="35">
        <f>IF(AQ322="7",BI322,0)</f>
        <v>0</v>
      </c>
      <c r="AF322" s="35">
        <f>IF(AQ322="2",BH322,0)</f>
        <v>0</v>
      </c>
      <c r="AG322" s="35">
        <f>IF(AQ322="2",BI322,0)</f>
        <v>0</v>
      </c>
      <c r="AH322" s="35">
        <f>IF(AQ322="0",BJ322,0)</f>
        <v>0</v>
      </c>
      <c r="AI322" s="83" t="s">
        <v>64</v>
      </c>
      <c r="AJ322" s="65">
        <f>IF(AN322=0,L322,0)</f>
        <v>0</v>
      </c>
      <c r="AK322" s="65">
        <f>IF(AN322=15,L322,0)</f>
        <v>0</v>
      </c>
      <c r="AL322" s="65">
        <f>IF(AN322=21,L322,0)</f>
        <v>440</v>
      </c>
      <c r="AN322" s="35">
        <v>21</v>
      </c>
      <c r="AO322" s="35">
        <f>I322*1</f>
        <v>440</v>
      </c>
      <c r="AP322" s="35">
        <f>I322*(1-1)</f>
        <v>0</v>
      </c>
      <c r="AQ322" s="85" t="s">
        <v>144</v>
      </c>
      <c r="AV322" s="35">
        <f>AW322+AX322</f>
        <v>440</v>
      </c>
      <c r="AW322" s="35">
        <f>H322*AO322</f>
        <v>440</v>
      </c>
      <c r="AX322" s="35">
        <f>H322*AP322</f>
        <v>0</v>
      </c>
      <c r="AY322" s="86" t="s">
        <v>1046</v>
      </c>
      <c r="AZ322" s="86" t="s">
        <v>1063</v>
      </c>
      <c r="BA322" s="83" t="s">
        <v>1078</v>
      </c>
      <c r="BC322" s="35">
        <f>AW322+AX322</f>
        <v>440</v>
      </c>
      <c r="BD322" s="35">
        <f>I322/(100-BE322)*100</f>
        <v>440.00000000000006</v>
      </c>
      <c r="BE322" s="35">
        <v>0</v>
      </c>
      <c r="BF322" s="35">
        <f>322</f>
        <v>322</v>
      </c>
      <c r="BH322" s="65">
        <f>H322*AO322</f>
        <v>440</v>
      </c>
      <c r="BI322" s="65">
        <f>H322*AP322</f>
        <v>0</v>
      </c>
      <c r="BJ322" s="65">
        <f>H322*I322</f>
        <v>440</v>
      </c>
      <c r="BK322" s="65" t="s">
        <v>1001</v>
      </c>
      <c r="BL322" s="35">
        <v>751</v>
      </c>
    </row>
    <row r="323" spans="1:64" x14ac:dyDescent="0.2">
      <c r="A323" s="19"/>
      <c r="C323" s="59" t="s">
        <v>521</v>
      </c>
      <c r="D323" s="180" t="s">
        <v>917</v>
      </c>
      <c r="E323" s="181"/>
      <c r="F323" s="181"/>
      <c r="G323" s="181"/>
      <c r="H323" s="181"/>
      <c r="I323" s="182"/>
      <c r="J323" s="181"/>
      <c r="K323" s="181"/>
      <c r="L323" s="181"/>
      <c r="M323" s="183"/>
      <c r="N323" s="19"/>
    </row>
    <row r="324" spans="1:64" x14ac:dyDescent="0.2">
      <c r="A324" s="47" t="s">
        <v>282</v>
      </c>
      <c r="B324" s="55" t="s">
        <v>64</v>
      </c>
      <c r="C324" s="55" t="s">
        <v>663</v>
      </c>
      <c r="D324" s="178" t="s">
        <v>918</v>
      </c>
      <c r="E324" s="179"/>
      <c r="F324" s="179"/>
      <c r="G324" s="55" t="s">
        <v>1001</v>
      </c>
      <c r="H324" s="64">
        <v>2</v>
      </c>
      <c r="I324" s="71">
        <v>145</v>
      </c>
      <c r="J324" s="64">
        <f>H324*AO324</f>
        <v>0</v>
      </c>
      <c r="K324" s="64">
        <f>H324*AP324</f>
        <v>290</v>
      </c>
      <c r="L324" s="64">
        <f>H324*I324</f>
        <v>290</v>
      </c>
      <c r="M324" s="79"/>
      <c r="N324" s="19"/>
      <c r="Z324" s="35">
        <f>IF(AQ324="5",BJ324,0)</f>
        <v>0</v>
      </c>
      <c r="AB324" s="35">
        <f>IF(AQ324="1",BH324,0)</f>
        <v>0</v>
      </c>
      <c r="AC324" s="35">
        <f>IF(AQ324="1",BI324,0)</f>
        <v>0</v>
      </c>
      <c r="AD324" s="35">
        <f>IF(AQ324="7",BH324,0)</f>
        <v>0</v>
      </c>
      <c r="AE324" s="35">
        <f>IF(AQ324="7",BI324,0)</f>
        <v>290</v>
      </c>
      <c r="AF324" s="35">
        <f>IF(AQ324="2",BH324,0)</f>
        <v>0</v>
      </c>
      <c r="AG324" s="35">
        <f>IF(AQ324="2",BI324,0)</f>
        <v>0</v>
      </c>
      <c r="AH324" s="35">
        <f>IF(AQ324="0",BJ324,0)</f>
        <v>0</v>
      </c>
      <c r="AI324" s="83" t="s">
        <v>64</v>
      </c>
      <c r="AJ324" s="64">
        <f>IF(AN324=0,L324,0)</f>
        <v>0</v>
      </c>
      <c r="AK324" s="64">
        <f>IF(AN324=15,L324,0)</f>
        <v>0</v>
      </c>
      <c r="AL324" s="64">
        <f>IF(AN324=21,L324,0)</f>
        <v>290</v>
      </c>
      <c r="AN324" s="35">
        <v>21</v>
      </c>
      <c r="AO324" s="35">
        <f>I324*0</f>
        <v>0</v>
      </c>
      <c r="AP324" s="35">
        <f>I324*(1-0)</f>
        <v>145</v>
      </c>
      <c r="AQ324" s="84" t="s">
        <v>144</v>
      </c>
      <c r="AV324" s="35">
        <f>AW324+AX324</f>
        <v>290</v>
      </c>
      <c r="AW324" s="35">
        <f>H324*AO324</f>
        <v>0</v>
      </c>
      <c r="AX324" s="35">
        <f>H324*AP324</f>
        <v>290</v>
      </c>
      <c r="AY324" s="86" t="s">
        <v>1046</v>
      </c>
      <c r="AZ324" s="86" t="s">
        <v>1063</v>
      </c>
      <c r="BA324" s="83" t="s">
        <v>1078</v>
      </c>
      <c r="BC324" s="35">
        <f>AW324+AX324</f>
        <v>290</v>
      </c>
      <c r="BD324" s="35">
        <f>I324/(100-BE324)*100</f>
        <v>145</v>
      </c>
      <c r="BE324" s="35">
        <v>0</v>
      </c>
      <c r="BF324" s="35">
        <f>324</f>
        <v>324</v>
      </c>
      <c r="BH324" s="64">
        <f>H324*AO324</f>
        <v>0</v>
      </c>
      <c r="BI324" s="64">
        <f>H324*AP324</f>
        <v>290</v>
      </c>
      <c r="BJ324" s="64">
        <f>H324*I324</f>
        <v>290</v>
      </c>
      <c r="BK324" s="64" t="s">
        <v>1086</v>
      </c>
      <c r="BL324" s="35">
        <v>751</v>
      </c>
    </row>
    <row r="325" spans="1:64" x14ac:dyDescent="0.2">
      <c r="A325" s="19"/>
      <c r="C325" s="59" t="s">
        <v>521</v>
      </c>
      <c r="D325" s="180" t="s">
        <v>919</v>
      </c>
      <c r="E325" s="181"/>
      <c r="F325" s="181"/>
      <c r="G325" s="181"/>
      <c r="H325" s="181"/>
      <c r="I325" s="182"/>
      <c r="J325" s="181"/>
      <c r="K325" s="181"/>
      <c r="L325" s="181"/>
      <c r="M325" s="183"/>
      <c r="N325" s="19"/>
    </row>
    <row r="326" spans="1:64" x14ac:dyDescent="0.2">
      <c r="A326" s="49" t="s">
        <v>283</v>
      </c>
      <c r="B326" s="57" t="s">
        <v>64</v>
      </c>
      <c r="C326" s="57" t="s">
        <v>664</v>
      </c>
      <c r="D326" s="186" t="s">
        <v>920</v>
      </c>
      <c r="E326" s="187"/>
      <c r="F326" s="187"/>
      <c r="G326" s="57" t="s">
        <v>1001</v>
      </c>
      <c r="H326" s="65">
        <v>2</v>
      </c>
      <c r="I326" s="73">
        <v>135</v>
      </c>
      <c r="J326" s="65">
        <f>H326*AO326</f>
        <v>270</v>
      </c>
      <c r="K326" s="65">
        <f>H326*AP326</f>
        <v>0</v>
      </c>
      <c r="L326" s="65">
        <f>H326*I326</f>
        <v>270</v>
      </c>
      <c r="M326" s="81"/>
      <c r="N326" s="19"/>
      <c r="Z326" s="35">
        <f>IF(AQ326="5",BJ326,0)</f>
        <v>0</v>
      </c>
      <c r="AB326" s="35">
        <f>IF(AQ326="1",BH326,0)</f>
        <v>0</v>
      </c>
      <c r="AC326" s="35">
        <f>IF(AQ326="1",BI326,0)</f>
        <v>0</v>
      </c>
      <c r="AD326" s="35">
        <f>IF(AQ326="7",BH326,0)</f>
        <v>270</v>
      </c>
      <c r="AE326" s="35">
        <f>IF(AQ326="7",BI326,0)</f>
        <v>0</v>
      </c>
      <c r="AF326" s="35">
        <f>IF(AQ326="2",BH326,0)</f>
        <v>0</v>
      </c>
      <c r="AG326" s="35">
        <f>IF(AQ326="2",BI326,0)</f>
        <v>0</v>
      </c>
      <c r="AH326" s="35">
        <f>IF(AQ326="0",BJ326,0)</f>
        <v>0</v>
      </c>
      <c r="AI326" s="83" t="s">
        <v>64</v>
      </c>
      <c r="AJ326" s="65">
        <f>IF(AN326=0,L326,0)</f>
        <v>0</v>
      </c>
      <c r="AK326" s="65">
        <f>IF(AN326=15,L326,0)</f>
        <v>0</v>
      </c>
      <c r="AL326" s="65">
        <f>IF(AN326=21,L326,0)</f>
        <v>270</v>
      </c>
      <c r="AN326" s="35">
        <v>21</v>
      </c>
      <c r="AO326" s="35">
        <f>I326*1</f>
        <v>135</v>
      </c>
      <c r="AP326" s="35">
        <f>I326*(1-1)</f>
        <v>0</v>
      </c>
      <c r="AQ326" s="85" t="s">
        <v>144</v>
      </c>
      <c r="AV326" s="35">
        <f>AW326+AX326</f>
        <v>270</v>
      </c>
      <c r="AW326" s="35">
        <f>H326*AO326</f>
        <v>270</v>
      </c>
      <c r="AX326" s="35">
        <f>H326*AP326</f>
        <v>0</v>
      </c>
      <c r="AY326" s="86" t="s">
        <v>1046</v>
      </c>
      <c r="AZ326" s="86" t="s">
        <v>1063</v>
      </c>
      <c r="BA326" s="83" t="s">
        <v>1078</v>
      </c>
      <c r="BC326" s="35">
        <f>AW326+AX326</f>
        <v>270</v>
      </c>
      <c r="BD326" s="35">
        <f>I326/(100-BE326)*100</f>
        <v>135</v>
      </c>
      <c r="BE326" s="35">
        <v>0</v>
      </c>
      <c r="BF326" s="35">
        <f>326</f>
        <v>326</v>
      </c>
      <c r="BH326" s="65">
        <f>H326*AO326</f>
        <v>270</v>
      </c>
      <c r="BI326" s="65">
        <f>H326*AP326</f>
        <v>0</v>
      </c>
      <c r="BJ326" s="65">
        <f>H326*I326</f>
        <v>270</v>
      </c>
      <c r="BK326" s="65" t="s">
        <v>1001</v>
      </c>
      <c r="BL326" s="35">
        <v>751</v>
      </c>
    </row>
    <row r="327" spans="1:64" x14ac:dyDescent="0.2">
      <c r="A327" s="19"/>
      <c r="C327" s="59" t="s">
        <v>521</v>
      </c>
      <c r="D327" s="180" t="s">
        <v>920</v>
      </c>
      <c r="E327" s="181"/>
      <c r="F327" s="181"/>
      <c r="G327" s="181"/>
      <c r="H327" s="181"/>
      <c r="I327" s="182"/>
      <c r="J327" s="181"/>
      <c r="K327" s="181"/>
      <c r="L327" s="181"/>
      <c r="M327" s="183"/>
      <c r="N327" s="19"/>
    </row>
    <row r="328" spans="1:64" x14ac:dyDescent="0.2">
      <c r="A328" s="47" t="s">
        <v>284</v>
      </c>
      <c r="B328" s="55" t="s">
        <v>64</v>
      </c>
      <c r="C328" s="55" t="s">
        <v>665</v>
      </c>
      <c r="D328" s="178" t="s">
        <v>921</v>
      </c>
      <c r="E328" s="179"/>
      <c r="F328" s="179"/>
      <c r="G328" s="55" t="s">
        <v>1001</v>
      </c>
      <c r="H328" s="64">
        <v>8</v>
      </c>
      <c r="I328" s="71">
        <v>207</v>
      </c>
      <c r="J328" s="64">
        <f>H328*AO328</f>
        <v>0</v>
      </c>
      <c r="K328" s="64">
        <f>H328*AP328</f>
        <v>1656</v>
      </c>
      <c r="L328" s="64">
        <f>H328*I328</f>
        <v>1656</v>
      </c>
      <c r="M328" s="79"/>
      <c r="N328" s="19"/>
      <c r="Z328" s="35">
        <f>IF(AQ328="5",BJ328,0)</f>
        <v>0</v>
      </c>
      <c r="AB328" s="35">
        <f>IF(AQ328="1",BH328,0)</f>
        <v>0</v>
      </c>
      <c r="AC328" s="35">
        <f>IF(AQ328="1",BI328,0)</f>
        <v>0</v>
      </c>
      <c r="AD328" s="35">
        <f>IF(AQ328="7",BH328,0)</f>
        <v>0</v>
      </c>
      <c r="AE328" s="35">
        <f>IF(AQ328="7",BI328,0)</f>
        <v>1656</v>
      </c>
      <c r="AF328" s="35">
        <f>IF(AQ328="2",BH328,0)</f>
        <v>0</v>
      </c>
      <c r="AG328" s="35">
        <f>IF(AQ328="2",BI328,0)</f>
        <v>0</v>
      </c>
      <c r="AH328" s="35">
        <f>IF(AQ328="0",BJ328,0)</f>
        <v>0</v>
      </c>
      <c r="AI328" s="83" t="s">
        <v>64</v>
      </c>
      <c r="AJ328" s="64">
        <f>IF(AN328=0,L328,0)</f>
        <v>0</v>
      </c>
      <c r="AK328" s="64">
        <f>IF(AN328=15,L328,0)</f>
        <v>0</v>
      </c>
      <c r="AL328" s="64">
        <f>IF(AN328=21,L328,0)</f>
        <v>1656</v>
      </c>
      <c r="AN328" s="35">
        <v>21</v>
      </c>
      <c r="AO328" s="35">
        <f>I328*0</f>
        <v>0</v>
      </c>
      <c r="AP328" s="35">
        <f>I328*(1-0)</f>
        <v>207</v>
      </c>
      <c r="AQ328" s="84" t="s">
        <v>144</v>
      </c>
      <c r="AV328" s="35">
        <f>AW328+AX328</f>
        <v>1656</v>
      </c>
      <c r="AW328" s="35">
        <f>H328*AO328</f>
        <v>0</v>
      </c>
      <c r="AX328" s="35">
        <f>H328*AP328</f>
        <v>1656</v>
      </c>
      <c r="AY328" s="86" t="s">
        <v>1046</v>
      </c>
      <c r="AZ328" s="86" t="s">
        <v>1063</v>
      </c>
      <c r="BA328" s="83" t="s">
        <v>1078</v>
      </c>
      <c r="BC328" s="35">
        <f>AW328+AX328</f>
        <v>1656</v>
      </c>
      <c r="BD328" s="35">
        <f>I328/(100-BE328)*100</f>
        <v>206.99999999999997</v>
      </c>
      <c r="BE328" s="35">
        <v>0</v>
      </c>
      <c r="BF328" s="35">
        <f>328</f>
        <v>328</v>
      </c>
      <c r="BH328" s="64">
        <f>H328*AO328</f>
        <v>0</v>
      </c>
      <c r="BI328" s="64">
        <f>H328*AP328</f>
        <v>1656</v>
      </c>
      <c r="BJ328" s="64">
        <f>H328*I328</f>
        <v>1656</v>
      </c>
      <c r="BK328" s="64" t="s">
        <v>1086</v>
      </c>
      <c r="BL328" s="35">
        <v>751</v>
      </c>
    </row>
    <row r="329" spans="1:64" x14ac:dyDescent="0.2">
      <c r="A329" s="19"/>
      <c r="C329" s="59" t="s">
        <v>521</v>
      </c>
      <c r="D329" s="180" t="s">
        <v>921</v>
      </c>
      <c r="E329" s="181"/>
      <c r="F329" s="181"/>
      <c r="G329" s="181"/>
      <c r="H329" s="181"/>
      <c r="I329" s="182"/>
      <c r="J329" s="181"/>
      <c r="K329" s="181"/>
      <c r="L329" s="181"/>
      <c r="M329" s="183"/>
      <c r="N329" s="19"/>
    </row>
    <row r="330" spans="1:64" x14ac:dyDescent="0.2">
      <c r="A330" s="49" t="s">
        <v>285</v>
      </c>
      <c r="B330" s="57" t="s">
        <v>64</v>
      </c>
      <c r="C330" s="57" t="s">
        <v>666</v>
      </c>
      <c r="D330" s="186" t="s">
        <v>922</v>
      </c>
      <c r="E330" s="187"/>
      <c r="F330" s="187"/>
      <c r="G330" s="57" t="s">
        <v>1001</v>
      </c>
      <c r="H330" s="65">
        <v>8</v>
      </c>
      <c r="I330" s="73">
        <v>318</v>
      </c>
      <c r="J330" s="65">
        <f>H330*AO330</f>
        <v>2544</v>
      </c>
      <c r="K330" s="65">
        <f>H330*AP330</f>
        <v>0</v>
      </c>
      <c r="L330" s="65">
        <f>H330*I330</f>
        <v>2544</v>
      </c>
      <c r="M330" s="81"/>
      <c r="N330" s="19"/>
      <c r="Z330" s="35">
        <f>IF(AQ330="5",BJ330,0)</f>
        <v>0</v>
      </c>
      <c r="AB330" s="35">
        <f>IF(AQ330="1",BH330,0)</f>
        <v>0</v>
      </c>
      <c r="AC330" s="35">
        <f>IF(AQ330="1",BI330,0)</f>
        <v>0</v>
      </c>
      <c r="AD330" s="35">
        <f>IF(AQ330="7",BH330,0)</f>
        <v>2544</v>
      </c>
      <c r="AE330" s="35">
        <f>IF(AQ330="7",BI330,0)</f>
        <v>0</v>
      </c>
      <c r="AF330" s="35">
        <f>IF(AQ330="2",BH330,0)</f>
        <v>0</v>
      </c>
      <c r="AG330" s="35">
        <f>IF(AQ330="2",BI330,0)</f>
        <v>0</v>
      </c>
      <c r="AH330" s="35">
        <f>IF(AQ330="0",BJ330,0)</f>
        <v>0</v>
      </c>
      <c r="AI330" s="83" t="s">
        <v>64</v>
      </c>
      <c r="AJ330" s="65">
        <f>IF(AN330=0,L330,0)</f>
        <v>0</v>
      </c>
      <c r="AK330" s="65">
        <f>IF(AN330=15,L330,0)</f>
        <v>0</v>
      </c>
      <c r="AL330" s="65">
        <f>IF(AN330=21,L330,0)</f>
        <v>2544</v>
      </c>
      <c r="AN330" s="35">
        <v>21</v>
      </c>
      <c r="AO330" s="35">
        <f>I330*1</f>
        <v>318</v>
      </c>
      <c r="AP330" s="35">
        <f>I330*(1-1)</f>
        <v>0</v>
      </c>
      <c r="AQ330" s="85" t="s">
        <v>144</v>
      </c>
      <c r="AV330" s="35">
        <f>AW330+AX330</f>
        <v>2544</v>
      </c>
      <c r="AW330" s="35">
        <f>H330*AO330</f>
        <v>2544</v>
      </c>
      <c r="AX330" s="35">
        <f>H330*AP330</f>
        <v>0</v>
      </c>
      <c r="AY330" s="86" t="s">
        <v>1046</v>
      </c>
      <c r="AZ330" s="86" t="s">
        <v>1063</v>
      </c>
      <c r="BA330" s="83" t="s">
        <v>1078</v>
      </c>
      <c r="BC330" s="35">
        <f>AW330+AX330</f>
        <v>2544</v>
      </c>
      <c r="BD330" s="35">
        <f>I330/(100-BE330)*100</f>
        <v>318</v>
      </c>
      <c r="BE330" s="35">
        <v>0</v>
      </c>
      <c r="BF330" s="35">
        <f>330</f>
        <v>330</v>
      </c>
      <c r="BH330" s="65">
        <f>H330*AO330</f>
        <v>2544</v>
      </c>
      <c r="BI330" s="65">
        <f>H330*AP330</f>
        <v>0</v>
      </c>
      <c r="BJ330" s="65">
        <f>H330*I330</f>
        <v>2544</v>
      </c>
      <c r="BK330" s="65" t="s">
        <v>1001</v>
      </c>
      <c r="BL330" s="35">
        <v>751</v>
      </c>
    </row>
    <row r="331" spans="1:64" x14ac:dyDescent="0.2">
      <c r="A331" s="19"/>
      <c r="C331" s="59" t="s">
        <v>521</v>
      </c>
      <c r="D331" s="180" t="s">
        <v>922</v>
      </c>
      <c r="E331" s="181"/>
      <c r="F331" s="181"/>
      <c r="G331" s="181"/>
      <c r="H331" s="181"/>
      <c r="I331" s="182"/>
      <c r="J331" s="181"/>
      <c r="K331" s="181"/>
      <c r="L331" s="181"/>
      <c r="M331" s="183"/>
      <c r="N331" s="19"/>
    </row>
    <row r="332" spans="1:64" x14ac:dyDescent="0.2">
      <c r="A332" s="47" t="s">
        <v>286</v>
      </c>
      <c r="B332" s="55" t="s">
        <v>64</v>
      </c>
      <c r="C332" s="55" t="s">
        <v>592</v>
      </c>
      <c r="D332" s="178" t="s">
        <v>923</v>
      </c>
      <c r="E332" s="179"/>
      <c r="F332" s="179"/>
      <c r="G332" s="55" t="s">
        <v>1003</v>
      </c>
      <c r="H332" s="64">
        <v>2</v>
      </c>
      <c r="I332" s="71">
        <v>99</v>
      </c>
      <c r="J332" s="64">
        <f>H332*AO332</f>
        <v>0</v>
      </c>
      <c r="K332" s="64">
        <f>H332*AP332</f>
        <v>198</v>
      </c>
      <c r="L332" s="64">
        <f>H332*I332</f>
        <v>198</v>
      </c>
      <c r="M332" s="79"/>
      <c r="N332" s="19"/>
      <c r="Z332" s="35">
        <f>IF(AQ332="5",BJ332,0)</f>
        <v>0</v>
      </c>
      <c r="AB332" s="35">
        <f>IF(AQ332="1",BH332,0)</f>
        <v>0</v>
      </c>
      <c r="AC332" s="35">
        <f>IF(AQ332="1",BI332,0)</f>
        <v>0</v>
      </c>
      <c r="AD332" s="35">
        <f>IF(AQ332="7",BH332,0)</f>
        <v>0</v>
      </c>
      <c r="AE332" s="35">
        <f>IF(AQ332="7",BI332,0)</f>
        <v>198</v>
      </c>
      <c r="AF332" s="35">
        <f>IF(AQ332="2",BH332,0)</f>
        <v>0</v>
      </c>
      <c r="AG332" s="35">
        <f>IF(AQ332="2",BI332,0)</f>
        <v>0</v>
      </c>
      <c r="AH332" s="35">
        <f>IF(AQ332="0",BJ332,0)</f>
        <v>0</v>
      </c>
      <c r="AI332" s="83" t="s">
        <v>64</v>
      </c>
      <c r="AJ332" s="64">
        <f>IF(AN332=0,L332,0)</f>
        <v>0</v>
      </c>
      <c r="AK332" s="64">
        <f>IF(AN332=15,L332,0)</f>
        <v>0</v>
      </c>
      <c r="AL332" s="64">
        <f>IF(AN332=21,L332,0)</f>
        <v>198</v>
      </c>
      <c r="AN332" s="35">
        <v>21</v>
      </c>
      <c r="AO332" s="35">
        <f>I332*0</f>
        <v>0</v>
      </c>
      <c r="AP332" s="35">
        <f>I332*(1-0)</f>
        <v>99</v>
      </c>
      <c r="AQ332" s="84" t="s">
        <v>144</v>
      </c>
      <c r="AV332" s="35">
        <f>AW332+AX332</f>
        <v>198</v>
      </c>
      <c r="AW332" s="35">
        <f>H332*AO332</f>
        <v>0</v>
      </c>
      <c r="AX332" s="35">
        <f>H332*AP332</f>
        <v>198</v>
      </c>
      <c r="AY332" s="86" t="s">
        <v>1046</v>
      </c>
      <c r="AZ332" s="86" t="s">
        <v>1063</v>
      </c>
      <c r="BA332" s="83" t="s">
        <v>1078</v>
      </c>
      <c r="BC332" s="35">
        <f>AW332+AX332</f>
        <v>198</v>
      </c>
      <c r="BD332" s="35">
        <f>I332/(100-BE332)*100</f>
        <v>99</v>
      </c>
      <c r="BE332" s="35">
        <v>0</v>
      </c>
      <c r="BF332" s="35">
        <f>332</f>
        <v>332</v>
      </c>
      <c r="BH332" s="64">
        <f>H332*AO332</f>
        <v>0</v>
      </c>
      <c r="BI332" s="64">
        <f>H332*AP332</f>
        <v>198</v>
      </c>
      <c r="BJ332" s="64">
        <f>H332*I332</f>
        <v>198</v>
      </c>
      <c r="BK332" s="64" t="s">
        <v>1086</v>
      </c>
      <c r="BL332" s="35">
        <v>751</v>
      </c>
    </row>
    <row r="333" spans="1:64" x14ac:dyDescent="0.2">
      <c r="A333" s="19"/>
      <c r="C333" s="59" t="s">
        <v>521</v>
      </c>
      <c r="D333" s="180" t="s">
        <v>924</v>
      </c>
      <c r="E333" s="181"/>
      <c r="F333" s="181"/>
      <c r="G333" s="181"/>
      <c r="H333" s="181"/>
      <c r="I333" s="182"/>
      <c r="J333" s="181"/>
      <c r="K333" s="181"/>
      <c r="L333" s="181"/>
      <c r="M333" s="183"/>
      <c r="N333" s="19"/>
    </row>
    <row r="334" spans="1:64" x14ac:dyDescent="0.2">
      <c r="A334" s="49" t="s">
        <v>287</v>
      </c>
      <c r="B334" s="57" t="s">
        <v>64</v>
      </c>
      <c r="C334" s="57" t="s">
        <v>667</v>
      </c>
      <c r="D334" s="186" t="s">
        <v>925</v>
      </c>
      <c r="E334" s="187"/>
      <c r="F334" s="187"/>
      <c r="G334" s="57" t="s">
        <v>1003</v>
      </c>
      <c r="H334" s="65">
        <v>2</v>
      </c>
      <c r="I334" s="73">
        <v>211</v>
      </c>
      <c r="J334" s="65">
        <f>H334*AO334</f>
        <v>422</v>
      </c>
      <c r="K334" s="65">
        <f>H334*AP334</f>
        <v>0</v>
      </c>
      <c r="L334" s="65">
        <f>H334*I334</f>
        <v>422</v>
      </c>
      <c r="M334" s="81"/>
      <c r="N334" s="19"/>
      <c r="Z334" s="35">
        <f>IF(AQ334="5",BJ334,0)</f>
        <v>0</v>
      </c>
      <c r="AB334" s="35">
        <f>IF(AQ334="1",BH334,0)</f>
        <v>0</v>
      </c>
      <c r="AC334" s="35">
        <f>IF(AQ334="1",BI334,0)</f>
        <v>0</v>
      </c>
      <c r="AD334" s="35">
        <f>IF(AQ334="7",BH334,0)</f>
        <v>422</v>
      </c>
      <c r="AE334" s="35">
        <f>IF(AQ334="7",BI334,0)</f>
        <v>0</v>
      </c>
      <c r="AF334" s="35">
        <f>IF(AQ334="2",BH334,0)</f>
        <v>0</v>
      </c>
      <c r="AG334" s="35">
        <f>IF(AQ334="2",BI334,0)</f>
        <v>0</v>
      </c>
      <c r="AH334" s="35">
        <f>IF(AQ334="0",BJ334,0)</f>
        <v>0</v>
      </c>
      <c r="AI334" s="83" t="s">
        <v>64</v>
      </c>
      <c r="AJ334" s="65">
        <f>IF(AN334=0,L334,0)</f>
        <v>0</v>
      </c>
      <c r="AK334" s="65">
        <f>IF(AN334=15,L334,0)</f>
        <v>0</v>
      </c>
      <c r="AL334" s="65">
        <f>IF(AN334=21,L334,0)</f>
        <v>422</v>
      </c>
      <c r="AN334" s="35">
        <v>21</v>
      </c>
      <c r="AO334" s="35">
        <f>I334*1</f>
        <v>211</v>
      </c>
      <c r="AP334" s="35">
        <f>I334*(1-1)</f>
        <v>0</v>
      </c>
      <c r="AQ334" s="85" t="s">
        <v>144</v>
      </c>
      <c r="AV334" s="35">
        <f>AW334+AX334</f>
        <v>422</v>
      </c>
      <c r="AW334" s="35">
        <f>H334*AO334</f>
        <v>422</v>
      </c>
      <c r="AX334" s="35">
        <f>H334*AP334</f>
        <v>0</v>
      </c>
      <c r="AY334" s="86" t="s">
        <v>1046</v>
      </c>
      <c r="AZ334" s="86" t="s">
        <v>1063</v>
      </c>
      <c r="BA334" s="83" t="s">
        <v>1078</v>
      </c>
      <c r="BC334" s="35">
        <f>AW334+AX334</f>
        <v>422</v>
      </c>
      <c r="BD334" s="35">
        <f>I334/(100-BE334)*100</f>
        <v>211</v>
      </c>
      <c r="BE334" s="35">
        <v>0</v>
      </c>
      <c r="BF334" s="35">
        <f>334</f>
        <v>334</v>
      </c>
      <c r="BH334" s="65">
        <f>H334*AO334</f>
        <v>422</v>
      </c>
      <c r="BI334" s="65">
        <f>H334*AP334</f>
        <v>0</v>
      </c>
      <c r="BJ334" s="65">
        <f>H334*I334</f>
        <v>422</v>
      </c>
      <c r="BK334" s="65" t="s">
        <v>1001</v>
      </c>
      <c r="BL334" s="35">
        <v>751</v>
      </c>
    </row>
    <row r="335" spans="1:64" x14ac:dyDescent="0.2">
      <c r="A335" s="19"/>
      <c r="C335" s="59" t="s">
        <v>521</v>
      </c>
      <c r="D335" s="180" t="s">
        <v>925</v>
      </c>
      <c r="E335" s="181"/>
      <c r="F335" s="181"/>
      <c r="G335" s="181"/>
      <c r="H335" s="181"/>
      <c r="I335" s="182"/>
      <c r="J335" s="181"/>
      <c r="K335" s="181"/>
      <c r="L335" s="181"/>
      <c r="M335" s="183"/>
      <c r="N335" s="19"/>
    </row>
    <row r="336" spans="1:64" x14ac:dyDescent="0.2">
      <c r="A336" s="47" t="s">
        <v>288</v>
      </c>
      <c r="B336" s="55" t="s">
        <v>64</v>
      </c>
      <c r="C336" s="55" t="s">
        <v>594</v>
      </c>
      <c r="D336" s="178" t="s">
        <v>926</v>
      </c>
      <c r="E336" s="179"/>
      <c r="F336" s="179"/>
      <c r="G336" s="55" t="s">
        <v>1003</v>
      </c>
      <c r="H336" s="64">
        <v>4</v>
      </c>
      <c r="I336" s="71">
        <v>121</v>
      </c>
      <c r="J336" s="64">
        <f>H336*AO336</f>
        <v>0</v>
      </c>
      <c r="K336" s="64">
        <f>H336*AP336</f>
        <v>484</v>
      </c>
      <c r="L336" s="64">
        <f>H336*I336</f>
        <v>484</v>
      </c>
      <c r="M336" s="79"/>
      <c r="N336" s="19"/>
      <c r="Z336" s="35">
        <f>IF(AQ336="5",BJ336,0)</f>
        <v>0</v>
      </c>
      <c r="AB336" s="35">
        <f>IF(AQ336="1",BH336,0)</f>
        <v>0</v>
      </c>
      <c r="AC336" s="35">
        <f>IF(AQ336="1",BI336,0)</f>
        <v>0</v>
      </c>
      <c r="AD336" s="35">
        <f>IF(AQ336="7",BH336,0)</f>
        <v>0</v>
      </c>
      <c r="AE336" s="35">
        <f>IF(AQ336="7",BI336,0)</f>
        <v>484</v>
      </c>
      <c r="AF336" s="35">
        <f>IF(AQ336="2",BH336,0)</f>
        <v>0</v>
      </c>
      <c r="AG336" s="35">
        <f>IF(AQ336="2",BI336,0)</f>
        <v>0</v>
      </c>
      <c r="AH336" s="35">
        <f>IF(AQ336="0",BJ336,0)</f>
        <v>0</v>
      </c>
      <c r="AI336" s="83" t="s">
        <v>64</v>
      </c>
      <c r="AJ336" s="64">
        <f>IF(AN336=0,L336,0)</f>
        <v>0</v>
      </c>
      <c r="AK336" s="64">
        <f>IF(AN336=15,L336,0)</f>
        <v>0</v>
      </c>
      <c r="AL336" s="64">
        <f>IF(AN336=21,L336,0)</f>
        <v>484</v>
      </c>
      <c r="AN336" s="35">
        <v>21</v>
      </c>
      <c r="AO336" s="35">
        <f>I336*0</f>
        <v>0</v>
      </c>
      <c r="AP336" s="35">
        <f>I336*(1-0)</f>
        <v>121</v>
      </c>
      <c r="AQ336" s="84" t="s">
        <v>144</v>
      </c>
      <c r="AV336" s="35">
        <f>AW336+AX336</f>
        <v>484</v>
      </c>
      <c r="AW336" s="35">
        <f>H336*AO336</f>
        <v>0</v>
      </c>
      <c r="AX336" s="35">
        <f>H336*AP336</f>
        <v>484</v>
      </c>
      <c r="AY336" s="86" t="s">
        <v>1046</v>
      </c>
      <c r="AZ336" s="86" t="s">
        <v>1063</v>
      </c>
      <c r="BA336" s="83" t="s">
        <v>1078</v>
      </c>
      <c r="BC336" s="35">
        <f>AW336+AX336</f>
        <v>484</v>
      </c>
      <c r="BD336" s="35">
        <f>I336/(100-BE336)*100</f>
        <v>121</v>
      </c>
      <c r="BE336" s="35">
        <v>0</v>
      </c>
      <c r="BF336" s="35">
        <f>336</f>
        <v>336</v>
      </c>
      <c r="BH336" s="64">
        <f>H336*AO336</f>
        <v>0</v>
      </c>
      <c r="BI336" s="64">
        <f>H336*AP336</f>
        <v>484</v>
      </c>
      <c r="BJ336" s="64">
        <f>H336*I336</f>
        <v>484</v>
      </c>
      <c r="BK336" s="64" t="s">
        <v>1086</v>
      </c>
      <c r="BL336" s="35">
        <v>751</v>
      </c>
    </row>
    <row r="337" spans="1:64" x14ac:dyDescent="0.2">
      <c r="A337" s="19"/>
      <c r="C337" s="59" t="s">
        <v>521</v>
      </c>
      <c r="D337" s="180" t="s">
        <v>927</v>
      </c>
      <c r="E337" s="181"/>
      <c r="F337" s="181"/>
      <c r="G337" s="181"/>
      <c r="H337" s="181"/>
      <c r="I337" s="182"/>
      <c r="J337" s="181"/>
      <c r="K337" s="181"/>
      <c r="L337" s="181"/>
      <c r="M337" s="183"/>
      <c r="N337" s="19"/>
    </row>
    <row r="338" spans="1:64" x14ac:dyDescent="0.2">
      <c r="A338" s="49" t="s">
        <v>289</v>
      </c>
      <c r="B338" s="57" t="s">
        <v>64</v>
      </c>
      <c r="C338" s="57" t="s">
        <v>668</v>
      </c>
      <c r="D338" s="186" t="s">
        <v>928</v>
      </c>
      <c r="E338" s="187"/>
      <c r="F338" s="187"/>
      <c r="G338" s="57" t="s">
        <v>1003</v>
      </c>
      <c r="H338" s="65">
        <v>4</v>
      </c>
      <c r="I338" s="73">
        <v>397</v>
      </c>
      <c r="J338" s="65">
        <f>H338*AO338</f>
        <v>1588</v>
      </c>
      <c r="K338" s="65">
        <f>H338*AP338</f>
        <v>0</v>
      </c>
      <c r="L338" s="65">
        <f>H338*I338</f>
        <v>1588</v>
      </c>
      <c r="M338" s="81"/>
      <c r="N338" s="19"/>
      <c r="Z338" s="35">
        <f>IF(AQ338="5",BJ338,0)</f>
        <v>0</v>
      </c>
      <c r="AB338" s="35">
        <f>IF(AQ338="1",BH338,0)</f>
        <v>0</v>
      </c>
      <c r="AC338" s="35">
        <f>IF(AQ338="1",BI338,0)</f>
        <v>0</v>
      </c>
      <c r="AD338" s="35">
        <f>IF(AQ338="7",BH338,0)</f>
        <v>1588</v>
      </c>
      <c r="AE338" s="35">
        <f>IF(AQ338="7",BI338,0)</f>
        <v>0</v>
      </c>
      <c r="AF338" s="35">
        <f>IF(AQ338="2",BH338,0)</f>
        <v>0</v>
      </c>
      <c r="AG338" s="35">
        <f>IF(AQ338="2",BI338,0)</f>
        <v>0</v>
      </c>
      <c r="AH338" s="35">
        <f>IF(AQ338="0",BJ338,0)</f>
        <v>0</v>
      </c>
      <c r="AI338" s="83" t="s">
        <v>64</v>
      </c>
      <c r="AJ338" s="65">
        <f>IF(AN338=0,L338,0)</f>
        <v>0</v>
      </c>
      <c r="AK338" s="65">
        <f>IF(AN338=15,L338,0)</f>
        <v>0</v>
      </c>
      <c r="AL338" s="65">
        <f>IF(AN338=21,L338,0)</f>
        <v>1588</v>
      </c>
      <c r="AN338" s="35">
        <v>21</v>
      </c>
      <c r="AO338" s="35">
        <f>I338*1</f>
        <v>397</v>
      </c>
      <c r="AP338" s="35">
        <f>I338*(1-1)</f>
        <v>0</v>
      </c>
      <c r="AQ338" s="85" t="s">
        <v>144</v>
      </c>
      <c r="AV338" s="35">
        <f>AW338+AX338</f>
        <v>1588</v>
      </c>
      <c r="AW338" s="35">
        <f>H338*AO338</f>
        <v>1588</v>
      </c>
      <c r="AX338" s="35">
        <f>H338*AP338</f>
        <v>0</v>
      </c>
      <c r="AY338" s="86" t="s">
        <v>1046</v>
      </c>
      <c r="AZ338" s="86" t="s">
        <v>1063</v>
      </c>
      <c r="BA338" s="83" t="s">
        <v>1078</v>
      </c>
      <c r="BC338" s="35">
        <f>AW338+AX338</f>
        <v>1588</v>
      </c>
      <c r="BD338" s="35">
        <f>I338/(100-BE338)*100</f>
        <v>397</v>
      </c>
      <c r="BE338" s="35">
        <v>0</v>
      </c>
      <c r="BF338" s="35">
        <f>338</f>
        <v>338</v>
      </c>
      <c r="BH338" s="65">
        <f>H338*AO338</f>
        <v>1588</v>
      </c>
      <c r="BI338" s="65">
        <f>H338*AP338</f>
        <v>0</v>
      </c>
      <c r="BJ338" s="65">
        <f>H338*I338</f>
        <v>1588</v>
      </c>
      <c r="BK338" s="65" t="s">
        <v>1001</v>
      </c>
      <c r="BL338" s="35">
        <v>751</v>
      </c>
    </row>
    <row r="339" spans="1:64" x14ac:dyDescent="0.2">
      <c r="A339" s="19"/>
      <c r="C339" s="59" t="s">
        <v>521</v>
      </c>
      <c r="D339" s="180" t="s">
        <v>928</v>
      </c>
      <c r="E339" s="181"/>
      <c r="F339" s="181"/>
      <c r="G339" s="181"/>
      <c r="H339" s="181"/>
      <c r="I339" s="182"/>
      <c r="J339" s="181"/>
      <c r="K339" s="181"/>
      <c r="L339" s="181"/>
      <c r="M339" s="183"/>
      <c r="N339" s="19"/>
    </row>
    <row r="340" spans="1:64" x14ac:dyDescent="0.2">
      <c r="A340" s="47" t="s">
        <v>290</v>
      </c>
      <c r="B340" s="55" t="s">
        <v>64</v>
      </c>
      <c r="C340" s="55" t="s">
        <v>596</v>
      </c>
      <c r="D340" s="178" t="s">
        <v>929</v>
      </c>
      <c r="E340" s="179"/>
      <c r="F340" s="179"/>
      <c r="G340" s="55" t="s">
        <v>1001</v>
      </c>
      <c r="H340" s="64">
        <v>26</v>
      </c>
      <c r="I340" s="71">
        <v>336</v>
      </c>
      <c r="J340" s="64">
        <f>H340*AO340</f>
        <v>0</v>
      </c>
      <c r="K340" s="64">
        <f>H340*AP340</f>
        <v>8736</v>
      </c>
      <c r="L340" s="64">
        <f>H340*I340</f>
        <v>8736</v>
      </c>
      <c r="M340" s="79"/>
      <c r="N340" s="19"/>
      <c r="Z340" s="35">
        <f>IF(AQ340="5",BJ340,0)</f>
        <v>0</v>
      </c>
      <c r="AB340" s="35">
        <f>IF(AQ340="1",BH340,0)</f>
        <v>0</v>
      </c>
      <c r="AC340" s="35">
        <f>IF(AQ340="1",BI340,0)</f>
        <v>0</v>
      </c>
      <c r="AD340" s="35">
        <f>IF(AQ340="7",BH340,0)</f>
        <v>0</v>
      </c>
      <c r="AE340" s="35">
        <f>IF(AQ340="7",BI340,0)</f>
        <v>8736</v>
      </c>
      <c r="AF340" s="35">
        <f>IF(AQ340="2",BH340,0)</f>
        <v>0</v>
      </c>
      <c r="AG340" s="35">
        <f>IF(AQ340="2",BI340,0)</f>
        <v>0</v>
      </c>
      <c r="AH340" s="35">
        <f>IF(AQ340="0",BJ340,0)</f>
        <v>0</v>
      </c>
      <c r="AI340" s="83" t="s">
        <v>64</v>
      </c>
      <c r="AJ340" s="64">
        <f>IF(AN340=0,L340,0)</f>
        <v>0</v>
      </c>
      <c r="AK340" s="64">
        <f>IF(AN340=15,L340,0)</f>
        <v>0</v>
      </c>
      <c r="AL340" s="64">
        <f>IF(AN340=21,L340,0)</f>
        <v>8736</v>
      </c>
      <c r="AN340" s="35">
        <v>21</v>
      </c>
      <c r="AO340" s="35">
        <f>I340*0</f>
        <v>0</v>
      </c>
      <c r="AP340" s="35">
        <f>I340*(1-0)</f>
        <v>336</v>
      </c>
      <c r="AQ340" s="84" t="s">
        <v>144</v>
      </c>
      <c r="AV340" s="35">
        <f>AW340+AX340</f>
        <v>8736</v>
      </c>
      <c r="AW340" s="35">
        <f>H340*AO340</f>
        <v>0</v>
      </c>
      <c r="AX340" s="35">
        <f>H340*AP340</f>
        <v>8736</v>
      </c>
      <c r="AY340" s="86" t="s">
        <v>1046</v>
      </c>
      <c r="AZ340" s="86" t="s">
        <v>1063</v>
      </c>
      <c r="BA340" s="83" t="s">
        <v>1078</v>
      </c>
      <c r="BC340" s="35">
        <f>AW340+AX340</f>
        <v>8736</v>
      </c>
      <c r="BD340" s="35">
        <f>I340/(100-BE340)*100</f>
        <v>336</v>
      </c>
      <c r="BE340" s="35">
        <v>0</v>
      </c>
      <c r="BF340" s="35">
        <f>340</f>
        <v>340</v>
      </c>
      <c r="BH340" s="64">
        <f>H340*AO340</f>
        <v>0</v>
      </c>
      <c r="BI340" s="64">
        <f>H340*AP340</f>
        <v>8736</v>
      </c>
      <c r="BJ340" s="64">
        <f>H340*I340</f>
        <v>8736</v>
      </c>
      <c r="BK340" s="64" t="s">
        <v>1086</v>
      </c>
      <c r="BL340" s="35">
        <v>751</v>
      </c>
    </row>
    <row r="341" spans="1:64" x14ac:dyDescent="0.2">
      <c r="A341" s="19"/>
      <c r="C341" s="59" t="s">
        <v>521</v>
      </c>
      <c r="D341" s="180" t="s">
        <v>929</v>
      </c>
      <c r="E341" s="181"/>
      <c r="F341" s="181"/>
      <c r="G341" s="181"/>
      <c r="H341" s="181"/>
      <c r="I341" s="182"/>
      <c r="J341" s="181"/>
      <c r="K341" s="181"/>
      <c r="L341" s="181"/>
      <c r="M341" s="183"/>
      <c r="N341" s="19"/>
    </row>
    <row r="342" spans="1:64" x14ac:dyDescent="0.2">
      <c r="A342" s="49" t="s">
        <v>291</v>
      </c>
      <c r="B342" s="57" t="s">
        <v>64</v>
      </c>
      <c r="C342" s="57" t="s">
        <v>669</v>
      </c>
      <c r="D342" s="186" t="s">
        <v>930</v>
      </c>
      <c r="E342" s="187"/>
      <c r="F342" s="187"/>
      <c r="G342" s="57" t="s">
        <v>1001</v>
      </c>
      <c r="H342" s="65">
        <v>5</v>
      </c>
      <c r="I342" s="73">
        <v>401</v>
      </c>
      <c r="J342" s="65">
        <f>H342*AO342</f>
        <v>2005</v>
      </c>
      <c r="K342" s="65">
        <f>H342*AP342</f>
        <v>0</v>
      </c>
      <c r="L342" s="65">
        <f>H342*I342</f>
        <v>2005</v>
      </c>
      <c r="M342" s="81"/>
      <c r="N342" s="19"/>
      <c r="Z342" s="35">
        <f>IF(AQ342="5",BJ342,0)</f>
        <v>0</v>
      </c>
      <c r="AB342" s="35">
        <f>IF(AQ342="1",BH342,0)</f>
        <v>0</v>
      </c>
      <c r="AC342" s="35">
        <f>IF(AQ342="1",BI342,0)</f>
        <v>0</v>
      </c>
      <c r="AD342" s="35">
        <f>IF(AQ342="7",BH342,0)</f>
        <v>2005</v>
      </c>
      <c r="AE342" s="35">
        <f>IF(AQ342="7",BI342,0)</f>
        <v>0</v>
      </c>
      <c r="AF342" s="35">
        <f>IF(AQ342="2",BH342,0)</f>
        <v>0</v>
      </c>
      <c r="AG342" s="35">
        <f>IF(AQ342="2",BI342,0)</f>
        <v>0</v>
      </c>
      <c r="AH342" s="35">
        <f>IF(AQ342="0",BJ342,0)</f>
        <v>0</v>
      </c>
      <c r="AI342" s="83" t="s">
        <v>64</v>
      </c>
      <c r="AJ342" s="65">
        <f>IF(AN342=0,L342,0)</f>
        <v>0</v>
      </c>
      <c r="AK342" s="65">
        <f>IF(AN342=15,L342,0)</f>
        <v>0</v>
      </c>
      <c r="AL342" s="65">
        <f>IF(AN342=21,L342,0)</f>
        <v>2005</v>
      </c>
      <c r="AN342" s="35">
        <v>21</v>
      </c>
      <c r="AO342" s="35">
        <f>I342*1</f>
        <v>401</v>
      </c>
      <c r="AP342" s="35">
        <f>I342*(1-1)</f>
        <v>0</v>
      </c>
      <c r="AQ342" s="85" t="s">
        <v>144</v>
      </c>
      <c r="AV342" s="35">
        <f>AW342+AX342</f>
        <v>2005</v>
      </c>
      <c r="AW342" s="35">
        <f>H342*AO342</f>
        <v>2005</v>
      </c>
      <c r="AX342" s="35">
        <f>H342*AP342</f>
        <v>0</v>
      </c>
      <c r="AY342" s="86" t="s">
        <v>1046</v>
      </c>
      <c r="AZ342" s="86" t="s">
        <v>1063</v>
      </c>
      <c r="BA342" s="83" t="s">
        <v>1078</v>
      </c>
      <c r="BC342" s="35">
        <f>AW342+AX342</f>
        <v>2005</v>
      </c>
      <c r="BD342" s="35">
        <f>I342/(100-BE342)*100</f>
        <v>401</v>
      </c>
      <c r="BE342" s="35">
        <v>0</v>
      </c>
      <c r="BF342" s="35">
        <f>342</f>
        <v>342</v>
      </c>
      <c r="BH342" s="65">
        <f>H342*AO342</f>
        <v>2005</v>
      </c>
      <c r="BI342" s="65">
        <f>H342*AP342</f>
        <v>0</v>
      </c>
      <c r="BJ342" s="65">
        <f>H342*I342</f>
        <v>2005</v>
      </c>
      <c r="BK342" s="65" t="s">
        <v>1001</v>
      </c>
      <c r="BL342" s="35">
        <v>751</v>
      </c>
    </row>
    <row r="343" spans="1:64" x14ac:dyDescent="0.2">
      <c r="A343" s="19"/>
      <c r="C343" s="59" t="s">
        <v>521</v>
      </c>
      <c r="D343" s="180" t="s">
        <v>930</v>
      </c>
      <c r="E343" s="181"/>
      <c r="F343" s="181"/>
      <c r="G343" s="181"/>
      <c r="H343" s="181"/>
      <c r="I343" s="182"/>
      <c r="J343" s="181"/>
      <c r="K343" s="181"/>
      <c r="L343" s="181"/>
      <c r="M343" s="183"/>
      <c r="N343" s="19"/>
    </row>
    <row r="344" spans="1:64" x14ac:dyDescent="0.2">
      <c r="A344" s="49" t="s">
        <v>292</v>
      </c>
      <c r="B344" s="57" t="s">
        <v>64</v>
      </c>
      <c r="C344" s="57" t="s">
        <v>670</v>
      </c>
      <c r="D344" s="186" t="s">
        <v>931</v>
      </c>
      <c r="E344" s="187"/>
      <c r="F344" s="187"/>
      <c r="G344" s="57" t="s">
        <v>1001</v>
      </c>
      <c r="H344" s="65">
        <v>3</v>
      </c>
      <c r="I344" s="73">
        <v>401</v>
      </c>
      <c r="J344" s="65">
        <f>H344*AO344</f>
        <v>1203</v>
      </c>
      <c r="K344" s="65">
        <f>H344*AP344</f>
        <v>0</v>
      </c>
      <c r="L344" s="65">
        <f>H344*I344</f>
        <v>1203</v>
      </c>
      <c r="M344" s="81"/>
      <c r="N344" s="19"/>
      <c r="Z344" s="35">
        <f>IF(AQ344="5",BJ344,0)</f>
        <v>0</v>
      </c>
      <c r="AB344" s="35">
        <f>IF(AQ344="1",BH344,0)</f>
        <v>0</v>
      </c>
      <c r="AC344" s="35">
        <f>IF(AQ344="1",BI344,0)</f>
        <v>0</v>
      </c>
      <c r="AD344" s="35">
        <f>IF(AQ344="7",BH344,0)</f>
        <v>1203</v>
      </c>
      <c r="AE344" s="35">
        <f>IF(AQ344="7",BI344,0)</f>
        <v>0</v>
      </c>
      <c r="AF344" s="35">
        <f>IF(AQ344="2",BH344,0)</f>
        <v>0</v>
      </c>
      <c r="AG344" s="35">
        <f>IF(AQ344="2",BI344,0)</f>
        <v>0</v>
      </c>
      <c r="AH344" s="35">
        <f>IF(AQ344="0",BJ344,0)</f>
        <v>0</v>
      </c>
      <c r="AI344" s="83" t="s">
        <v>64</v>
      </c>
      <c r="AJ344" s="65">
        <f>IF(AN344=0,L344,0)</f>
        <v>0</v>
      </c>
      <c r="AK344" s="65">
        <f>IF(AN344=15,L344,0)</f>
        <v>0</v>
      </c>
      <c r="AL344" s="65">
        <f>IF(AN344=21,L344,0)</f>
        <v>1203</v>
      </c>
      <c r="AN344" s="35">
        <v>21</v>
      </c>
      <c r="AO344" s="35">
        <f>I344*1</f>
        <v>401</v>
      </c>
      <c r="AP344" s="35">
        <f>I344*(1-1)</f>
        <v>0</v>
      </c>
      <c r="AQ344" s="85" t="s">
        <v>144</v>
      </c>
      <c r="AV344" s="35">
        <f>AW344+AX344</f>
        <v>1203</v>
      </c>
      <c r="AW344" s="35">
        <f>H344*AO344</f>
        <v>1203</v>
      </c>
      <c r="AX344" s="35">
        <f>H344*AP344</f>
        <v>0</v>
      </c>
      <c r="AY344" s="86" t="s">
        <v>1046</v>
      </c>
      <c r="AZ344" s="86" t="s">
        <v>1063</v>
      </c>
      <c r="BA344" s="83" t="s">
        <v>1078</v>
      </c>
      <c r="BC344" s="35">
        <f>AW344+AX344</f>
        <v>1203</v>
      </c>
      <c r="BD344" s="35">
        <f>I344/(100-BE344)*100</f>
        <v>401</v>
      </c>
      <c r="BE344" s="35">
        <v>0</v>
      </c>
      <c r="BF344" s="35">
        <f>344</f>
        <v>344</v>
      </c>
      <c r="BH344" s="65">
        <f>H344*AO344</f>
        <v>1203</v>
      </c>
      <c r="BI344" s="65">
        <f>H344*AP344</f>
        <v>0</v>
      </c>
      <c r="BJ344" s="65">
        <f>H344*I344</f>
        <v>1203</v>
      </c>
      <c r="BK344" s="65" t="s">
        <v>1001</v>
      </c>
      <c r="BL344" s="35">
        <v>751</v>
      </c>
    </row>
    <row r="345" spans="1:64" x14ac:dyDescent="0.2">
      <c r="A345" s="19"/>
      <c r="C345" s="59" t="s">
        <v>521</v>
      </c>
      <c r="D345" s="180" t="s">
        <v>932</v>
      </c>
      <c r="E345" s="181"/>
      <c r="F345" s="181"/>
      <c r="G345" s="181"/>
      <c r="H345" s="181"/>
      <c r="I345" s="182"/>
      <c r="J345" s="181"/>
      <c r="K345" s="181"/>
      <c r="L345" s="181"/>
      <c r="M345" s="183"/>
      <c r="N345" s="19"/>
    </row>
    <row r="346" spans="1:64" x14ac:dyDescent="0.2">
      <c r="A346" s="49" t="s">
        <v>293</v>
      </c>
      <c r="B346" s="57" t="s">
        <v>64</v>
      </c>
      <c r="C346" s="57" t="s">
        <v>671</v>
      </c>
      <c r="D346" s="186" t="s">
        <v>933</v>
      </c>
      <c r="E346" s="187"/>
      <c r="F346" s="187"/>
      <c r="G346" s="57" t="s">
        <v>1001</v>
      </c>
      <c r="H346" s="65">
        <v>3</v>
      </c>
      <c r="I346" s="73">
        <v>401</v>
      </c>
      <c r="J346" s="65">
        <f>H346*AO346</f>
        <v>1203</v>
      </c>
      <c r="K346" s="65">
        <f>H346*AP346</f>
        <v>0</v>
      </c>
      <c r="L346" s="65">
        <f>H346*I346</f>
        <v>1203</v>
      </c>
      <c r="M346" s="81"/>
      <c r="N346" s="19"/>
      <c r="Z346" s="35">
        <f>IF(AQ346="5",BJ346,0)</f>
        <v>0</v>
      </c>
      <c r="AB346" s="35">
        <f>IF(AQ346="1",BH346,0)</f>
        <v>0</v>
      </c>
      <c r="AC346" s="35">
        <f>IF(AQ346="1",BI346,0)</f>
        <v>0</v>
      </c>
      <c r="AD346" s="35">
        <f>IF(AQ346="7",BH346,0)</f>
        <v>1203</v>
      </c>
      <c r="AE346" s="35">
        <f>IF(AQ346="7",BI346,0)</f>
        <v>0</v>
      </c>
      <c r="AF346" s="35">
        <f>IF(AQ346="2",BH346,0)</f>
        <v>0</v>
      </c>
      <c r="AG346" s="35">
        <f>IF(AQ346="2",BI346,0)</f>
        <v>0</v>
      </c>
      <c r="AH346" s="35">
        <f>IF(AQ346="0",BJ346,0)</f>
        <v>0</v>
      </c>
      <c r="AI346" s="83" t="s">
        <v>64</v>
      </c>
      <c r="AJ346" s="65">
        <f>IF(AN346=0,L346,0)</f>
        <v>0</v>
      </c>
      <c r="AK346" s="65">
        <f>IF(AN346=15,L346,0)</f>
        <v>0</v>
      </c>
      <c r="AL346" s="65">
        <f>IF(AN346=21,L346,0)</f>
        <v>1203</v>
      </c>
      <c r="AN346" s="35">
        <v>21</v>
      </c>
      <c r="AO346" s="35">
        <f>I346*1</f>
        <v>401</v>
      </c>
      <c r="AP346" s="35">
        <f>I346*(1-1)</f>
        <v>0</v>
      </c>
      <c r="AQ346" s="85" t="s">
        <v>144</v>
      </c>
      <c r="AV346" s="35">
        <f>AW346+AX346</f>
        <v>1203</v>
      </c>
      <c r="AW346" s="35">
        <f>H346*AO346</f>
        <v>1203</v>
      </c>
      <c r="AX346" s="35">
        <f>H346*AP346</f>
        <v>0</v>
      </c>
      <c r="AY346" s="86" t="s">
        <v>1046</v>
      </c>
      <c r="AZ346" s="86" t="s">
        <v>1063</v>
      </c>
      <c r="BA346" s="83" t="s">
        <v>1078</v>
      </c>
      <c r="BC346" s="35">
        <f>AW346+AX346</f>
        <v>1203</v>
      </c>
      <c r="BD346" s="35">
        <f>I346/(100-BE346)*100</f>
        <v>401</v>
      </c>
      <c r="BE346" s="35">
        <v>0</v>
      </c>
      <c r="BF346" s="35">
        <f>346</f>
        <v>346</v>
      </c>
      <c r="BH346" s="65">
        <f>H346*AO346</f>
        <v>1203</v>
      </c>
      <c r="BI346" s="65">
        <f>H346*AP346</f>
        <v>0</v>
      </c>
      <c r="BJ346" s="65">
        <f>H346*I346</f>
        <v>1203</v>
      </c>
      <c r="BK346" s="65" t="s">
        <v>1001</v>
      </c>
      <c r="BL346" s="35">
        <v>751</v>
      </c>
    </row>
    <row r="347" spans="1:64" x14ac:dyDescent="0.2">
      <c r="A347" s="19"/>
      <c r="C347" s="59" t="s">
        <v>521</v>
      </c>
      <c r="D347" s="180" t="s">
        <v>933</v>
      </c>
      <c r="E347" s="181"/>
      <c r="F347" s="181"/>
      <c r="G347" s="181"/>
      <c r="H347" s="181"/>
      <c r="I347" s="182"/>
      <c r="J347" s="181"/>
      <c r="K347" s="181"/>
      <c r="L347" s="181"/>
      <c r="M347" s="183"/>
      <c r="N347" s="19"/>
    </row>
    <row r="348" spans="1:64" x14ac:dyDescent="0.2">
      <c r="A348" s="49" t="s">
        <v>294</v>
      </c>
      <c r="B348" s="57" t="s">
        <v>64</v>
      </c>
      <c r="C348" s="57" t="s">
        <v>672</v>
      </c>
      <c r="D348" s="186" t="s">
        <v>934</v>
      </c>
      <c r="E348" s="187"/>
      <c r="F348" s="187"/>
      <c r="G348" s="57" t="s">
        <v>1001</v>
      </c>
      <c r="H348" s="65">
        <v>7</v>
      </c>
      <c r="I348" s="73">
        <v>349</v>
      </c>
      <c r="J348" s="65">
        <f>H348*AO348</f>
        <v>2443</v>
      </c>
      <c r="K348" s="65">
        <f>H348*AP348</f>
        <v>0</v>
      </c>
      <c r="L348" s="65">
        <f>H348*I348</f>
        <v>2443</v>
      </c>
      <c r="M348" s="81"/>
      <c r="N348" s="19"/>
      <c r="Z348" s="35">
        <f>IF(AQ348="5",BJ348,0)</f>
        <v>0</v>
      </c>
      <c r="AB348" s="35">
        <f>IF(AQ348="1",BH348,0)</f>
        <v>0</v>
      </c>
      <c r="AC348" s="35">
        <f>IF(AQ348="1",BI348,0)</f>
        <v>0</v>
      </c>
      <c r="AD348" s="35">
        <f>IF(AQ348="7",BH348,0)</f>
        <v>2443</v>
      </c>
      <c r="AE348" s="35">
        <f>IF(AQ348="7",BI348,0)</f>
        <v>0</v>
      </c>
      <c r="AF348" s="35">
        <f>IF(AQ348="2",BH348,0)</f>
        <v>0</v>
      </c>
      <c r="AG348" s="35">
        <f>IF(AQ348="2",BI348,0)</f>
        <v>0</v>
      </c>
      <c r="AH348" s="35">
        <f>IF(AQ348="0",BJ348,0)</f>
        <v>0</v>
      </c>
      <c r="AI348" s="83" t="s">
        <v>64</v>
      </c>
      <c r="AJ348" s="65">
        <f>IF(AN348=0,L348,0)</f>
        <v>0</v>
      </c>
      <c r="AK348" s="65">
        <f>IF(AN348=15,L348,0)</f>
        <v>0</v>
      </c>
      <c r="AL348" s="65">
        <f>IF(AN348=21,L348,0)</f>
        <v>2443</v>
      </c>
      <c r="AN348" s="35">
        <v>21</v>
      </c>
      <c r="AO348" s="35">
        <f>I348*1</f>
        <v>349</v>
      </c>
      <c r="AP348" s="35">
        <f>I348*(1-1)</f>
        <v>0</v>
      </c>
      <c r="AQ348" s="85" t="s">
        <v>144</v>
      </c>
      <c r="AV348" s="35">
        <f>AW348+AX348</f>
        <v>2443</v>
      </c>
      <c r="AW348" s="35">
        <f>H348*AO348</f>
        <v>2443</v>
      </c>
      <c r="AX348" s="35">
        <f>H348*AP348</f>
        <v>0</v>
      </c>
      <c r="AY348" s="86" t="s">
        <v>1046</v>
      </c>
      <c r="AZ348" s="86" t="s">
        <v>1063</v>
      </c>
      <c r="BA348" s="83" t="s">
        <v>1078</v>
      </c>
      <c r="BC348" s="35">
        <f>AW348+AX348</f>
        <v>2443</v>
      </c>
      <c r="BD348" s="35">
        <f>I348/(100-BE348)*100</f>
        <v>349</v>
      </c>
      <c r="BE348" s="35">
        <v>0</v>
      </c>
      <c r="BF348" s="35">
        <f>348</f>
        <v>348</v>
      </c>
      <c r="BH348" s="65">
        <f>H348*AO348</f>
        <v>2443</v>
      </c>
      <c r="BI348" s="65">
        <f>H348*AP348</f>
        <v>0</v>
      </c>
      <c r="BJ348" s="65">
        <f>H348*I348</f>
        <v>2443</v>
      </c>
      <c r="BK348" s="65" t="s">
        <v>1001</v>
      </c>
      <c r="BL348" s="35">
        <v>751</v>
      </c>
    </row>
    <row r="349" spans="1:64" x14ac:dyDescent="0.2">
      <c r="A349" s="19"/>
      <c r="C349" s="59" t="s">
        <v>521</v>
      </c>
      <c r="D349" s="180" t="s">
        <v>934</v>
      </c>
      <c r="E349" s="181"/>
      <c r="F349" s="181"/>
      <c r="G349" s="181"/>
      <c r="H349" s="181"/>
      <c r="I349" s="182"/>
      <c r="J349" s="181"/>
      <c r="K349" s="181"/>
      <c r="L349" s="181"/>
      <c r="M349" s="183"/>
      <c r="N349" s="19"/>
    </row>
    <row r="350" spans="1:64" x14ac:dyDescent="0.2">
      <c r="A350" s="49" t="s">
        <v>295</v>
      </c>
      <c r="B350" s="57" t="s">
        <v>64</v>
      </c>
      <c r="C350" s="57" t="s">
        <v>673</v>
      </c>
      <c r="D350" s="186" t="s">
        <v>935</v>
      </c>
      <c r="E350" s="187"/>
      <c r="F350" s="187"/>
      <c r="G350" s="57" t="s">
        <v>1001</v>
      </c>
      <c r="H350" s="65">
        <v>3</v>
      </c>
      <c r="I350" s="73">
        <v>349</v>
      </c>
      <c r="J350" s="65">
        <f>H350*AO350</f>
        <v>1047</v>
      </c>
      <c r="K350" s="65">
        <f>H350*AP350</f>
        <v>0</v>
      </c>
      <c r="L350" s="65">
        <f>H350*I350</f>
        <v>1047</v>
      </c>
      <c r="M350" s="81"/>
      <c r="N350" s="19"/>
      <c r="Z350" s="35">
        <f>IF(AQ350="5",BJ350,0)</f>
        <v>0</v>
      </c>
      <c r="AB350" s="35">
        <f>IF(AQ350="1",BH350,0)</f>
        <v>0</v>
      </c>
      <c r="AC350" s="35">
        <f>IF(AQ350="1",BI350,0)</f>
        <v>0</v>
      </c>
      <c r="AD350" s="35">
        <f>IF(AQ350="7",BH350,0)</f>
        <v>1047</v>
      </c>
      <c r="AE350" s="35">
        <f>IF(AQ350="7",BI350,0)</f>
        <v>0</v>
      </c>
      <c r="AF350" s="35">
        <f>IF(AQ350="2",BH350,0)</f>
        <v>0</v>
      </c>
      <c r="AG350" s="35">
        <f>IF(AQ350="2",BI350,0)</f>
        <v>0</v>
      </c>
      <c r="AH350" s="35">
        <f>IF(AQ350="0",BJ350,0)</f>
        <v>0</v>
      </c>
      <c r="AI350" s="83" t="s">
        <v>64</v>
      </c>
      <c r="AJ350" s="65">
        <f>IF(AN350=0,L350,0)</f>
        <v>0</v>
      </c>
      <c r="AK350" s="65">
        <f>IF(AN350=15,L350,0)</f>
        <v>0</v>
      </c>
      <c r="AL350" s="65">
        <f>IF(AN350=21,L350,0)</f>
        <v>1047</v>
      </c>
      <c r="AN350" s="35">
        <v>21</v>
      </c>
      <c r="AO350" s="35">
        <f>I350*1</f>
        <v>349</v>
      </c>
      <c r="AP350" s="35">
        <f>I350*(1-1)</f>
        <v>0</v>
      </c>
      <c r="AQ350" s="85" t="s">
        <v>144</v>
      </c>
      <c r="AV350" s="35">
        <f>AW350+AX350</f>
        <v>1047</v>
      </c>
      <c r="AW350" s="35">
        <f>H350*AO350</f>
        <v>1047</v>
      </c>
      <c r="AX350" s="35">
        <f>H350*AP350</f>
        <v>0</v>
      </c>
      <c r="AY350" s="86" t="s">
        <v>1046</v>
      </c>
      <c r="AZ350" s="86" t="s">
        <v>1063</v>
      </c>
      <c r="BA350" s="83" t="s">
        <v>1078</v>
      </c>
      <c r="BC350" s="35">
        <f>AW350+AX350</f>
        <v>1047</v>
      </c>
      <c r="BD350" s="35">
        <f>I350/(100-BE350)*100</f>
        <v>349</v>
      </c>
      <c r="BE350" s="35">
        <v>0</v>
      </c>
      <c r="BF350" s="35">
        <f>350</f>
        <v>350</v>
      </c>
      <c r="BH350" s="65">
        <f>H350*AO350</f>
        <v>1047</v>
      </c>
      <c r="BI350" s="65">
        <f>H350*AP350</f>
        <v>0</v>
      </c>
      <c r="BJ350" s="65">
        <f>H350*I350</f>
        <v>1047</v>
      </c>
      <c r="BK350" s="65" t="s">
        <v>1001</v>
      </c>
      <c r="BL350" s="35">
        <v>751</v>
      </c>
    </row>
    <row r="351" spans="1:64" x14ac:dyDescent="0.2">
      <c r="A351" s="19"/>
      <c r="C351" s="59" t="s">
        <v>521</v>
      </c>
      <c r="D351" s="180" t="s">
        <v>935</v>
      </c>
      <c r="E351" s="181"/>
      <c r="F351" s="181"/>
      <c r="G351" s="181"/>
      <c r="H351" s="181"/>
      <c r="I351" s="182"/>
      <c r="J351" s="181"/>
      <c r="K351" s="181"/>
      <c r="L351" s="181"/>
      <c r="M351" s="183"/>
      <c r="N351" s="19"/>
    </row>
    <row r="352" spans="1:64" x14ac:dyDescent="0.2">
      <c r="A352" s="49" t="s">
        <v>296</v>
      </c>
      <c r="B352" s="57" t="s">
        <v>64</v>
      </c>
      <c r="C352" s="57" t="s">
        <v>674</v>
      </c>
      <c r="D352" s="186" t="s">
        <v>936</v>
      </c>
      <c r="E352" s="187"/>
      <c r="F352" s="187"/>
      <c r="G352" s="57" t="s">
        <v>1001</v>
      </c>
      <c r="H352" s="65">
        <v>2</v>
      </c>
      <c r="I352" s="73">
        <v>349</v>
      </c>
      <c r="J352" s="65">
        <f>H352*AO352</f>
        <v>698</v>
      </c>
      <c r="K352" s="65">
        <f>H352*AP352</f>
        <v>0</v>
      </c>
      <c r="L352" s="65">
        <f>H352*I352</f>
        <v>698</v>
      </c>
      <c r="M352" s="81"/>
      <c r="N352" s="19"/>
      <c r="Z352" s="35">
        <f>IF(AQ352="5",BJ352,0)</f>
        <v>0</v>
      </c>
      <c r="AB352" s="35">
        <f>IF(AQ352="1",BH352,0)</f>
        <v>0</v>
      </c>
      <c r="AC352" s="35">
        <f>IF(AQ352="1",BI352,0)</f>
        <v>0</v>
      </c>
      <c r="AD352" s="35">
        <f>IF(AQ352="7",BH352,0)</f>
        <v>698</v>
      </c>
      <c r="AE352" s="35">
        <f>IF(AQ352="7",BI352,0)</f>
        <v>0</v>
      </c>
      <c r="AF352" s="35">
        <f>IF(AQ352="2",BH352,0)</f>
        <v>0</v>
      </c>
      <c r="AG352" s="35">
        <f>IF(AQ352="2",BI352,0)</f>
        <v>0</v>
      </c>
      <c r="AH352" s="35">
        <f>IF(AQ352="0",BJ352,0)</f>
        <v>0</v>
      </c>
      <c r="AI352" s="83" t="s">
        <v>64</v>
      </c>
      <c r="AJ352" s="65">
        <f>IF(AN352=0,L352,0)</f>
        <v>0</v>
      </c>
      <c r="AK352" s="65">
        <f>IF(AN352=15,L352,0)</f>
        <v>0</v>
      </c>
      <c r="AL352" s="65">
        <f>IF(AN352=21,L352,0)</f>
        <v>698</v>
      </c>
      <c r="AN352" s="35">
        <v>21</v>
      </c>
      <c r="AO352" s="35">
        <f>I352*1</f>
        <v>349</v>
      </c>
      <c r="AP352" s="35">
        <f>I352*(1-1)</f>
        <v>0</v>
      </c>
      <c r="AQ352" s="85" t="s">
        <v>144</v>
      </c>
      <c r="AV352" s="35">
        <f>AW352+AX352</f>
        <v>698</v>
      </c>
      <c r="AW352" s="35">
        <f>H352*AO352</f>
        <v>698</v>
      </c>
      <c r="AX352" s="35">
        <f>H352*AP352</f>
        <v>0</v>
      </c>
      <c r="AY352" s="86" t="s">
        <v>1046</v>
      </c>
      <c r="AZ352" s="86" t="s">
        <v>1063</v>
      </c>
      <c r="BA352" s="83" t="s">
        <v>1078</v>
      </c>
      <c r="BC352" s="35">
        <f>AW352+AX352</f>
        <v>698</v>
      </c>
      <c r="BD352" s="35">
        <f>I352/(100-BE352)*100</f>
        <v>349</v>
      </c>
      <c r="BE352" s="35">
        <v>0</v>
      </c>
      <c r="BF352" s="35">
        <f>352</f>
        <v>352</v>
      </c>
      <c r="BH352" s="65">
        <f>H352*AO352</f>
        <v>698</v>
      </c>
      <c r="BI352" s="65">
        <f>H352*AP352</f>
        <v>0</v>
      </c>
      <c r="BJ352" s="65">
        <f>H352*I352</f>
        <v>698</v>
      </c>
      <c r="BK352" s="65" t="s">
        <v>1001</v>
      </c>
      <c r="BL352" s="35">
        <v>751</v>
      </c>
    </row>
    <row r="353" spans="1:64" x14ac:dyDescent="0.2">
      <c r="A353" s="19"/>
      <c r="C353" s="59" t="s">
        <v>521</v>
      </c>
      <c r="D353" s="180" t="s">
        <v>936</v>
      </c>
      <c r="E353" s="181"/>
      <c r="F353" s="181"/>
      <c r="G353" s="181"/>
      <c r="H353" s="181"/>
      <c r="I353" s="182"/>
      <c r="J353" s="181"/>
      <c r="K353" s="181"/>
      <c r="L353" s="181"/>
      <c r="M353" s="183"/>
      <c r="N353" s="19"/>
    </row>
    <row r="354" spans="1:64" x14ac:dyDescent="0.2">
      <c r="A354" s="49" t="s">
        <v>297</v>
      </c>
      <c r="B354" s="57" t="s">
        <v>64</v>
      </c>
      <c r="C354" s="57" t="s">
        <v>675</v>
      </c>
      <c r="D354" s="186" t="s">
        <v>937</v>
      </c>
      <c r="E354" s="187"/>
      <c r="F354" s="187"/>
      <c r="G354" s="57" t="s">
        <v>1001</v>
      </c>
      <c r="H354" s="65">
        <v>3</v>
      </c>
      <c r="I354" s="73">
        <v>349</v>
      </c>
      <c r="J354" s="65">
        <f>H354*AO354</f>
        <v>1047</v>
      </c>
      <c r="K354" s="65">
        <f>H354*AP354</f>
        <v>0</v>
      </c>
      <c r="L354" s="65">
        <f>H354*I354</f>
        <v>1047</v>
      </c>
      <c r="M354" s="81"/>
      <c r="N354" s="19"/>
      <c r="Z354" s="35">
        <f>IF(AQ354="5",BJ354,0)</f>
        <v>0</v>
      </c>
      <c r="AB354" s="35">
        <f>IF(AQ354="1",BH354,0)</f>
        <v>0</v>
      </c>
      <c r="AC354" s="35">
        <f>IF(AQ354="1",BI354,0)</f>
        <v>0</v>
      </c>
      <c r="AD354" s="35">
        <f>IF(AQ354="7",BH354,0)</f>
        <v>1047</v>
      </c>
      <c r="AE354" s="35">
        <f>IF(AQ354="7",BI354,0)</f>
        <v>0</v>
      </c>
      <c r="AF354" s="35">
        <f>IF(AQ354="2",BH354,0)</f>
        <v>0</v>
      </c>
      <c r="AG354" s="35">
        <f>IF(AQ354="2",BI354,0)</f>
        <v>0</v>
      </c>
      <c r="AH354" s="35">
        <f>IF(AQ354="0",BJ354,0)</f>
        <v>0</v>
      </c>
      <c r="AI354" s="83" t="s">
        <v>64</v>
      </c>
      <c r="AJ354" s="65">
        <f>IF(AN354=0,L354,0)</f>
        <v>0</v>
      </c>
      <c r="AK354" s="65">
        <f>IF(AN354=15,L354,0)</f>
        <v>0</v>
      </c>
      <c r="AL354" s="65">
        <f>IF(AN354=21,L354,0)</f>
        <v>1047</v>
      </c>
      <c r="AN354" s="35">
        <v>21</v>
      </c>
      <c r="AO354" s="35">
        <f>I354*1</f>
        <v>349</v>
      </c>
      <c r="AP354" s="35">
        <f>I354*(1-1)</f>
        <v>0</v>
      </c>
      <c r="AQ354" s="85" t="s">
        <v>144</v>
      </c>
      <c r="AV354" s="35">
        <f>AW354+AX354</f>
        <v>1047</v>
      </c>
      <c r="AW354" s="35">
        <f>H354*AO354</f>
        <v>1047</v>
      </c>
      <c r="AX354" s="35">
        <f>H354*AP354</f>
        <v>0</v>
      </c>
      <c r="AY354" s="86" t="s">
        <v>1046</v>
      </c>
      <c r="AZ354" s="86" t="s">
        <v>1063</v>
      </c>
      <c r="BA354" s="83" t="s">
        <v>1078</v>
      </c>
      <c r="BC354" s="35">
        <f>AW354+AX354</f>
        <v>1047</v>
      </c>
      <c r="BD354" s="35">
        <f>I354/(100-BE354)*100</f>
        <v>349</v>
      </c>
      <c r="BE354" s="35">
        <v>0</v>
      </c>
      <c r="BF354" s="35">
        <f>354</f>
        <v>354</v>
      </c>
      <c r="BH354" s="65">
        <f>H354*AO354</f>
        <v>1047</v>
      </c>
      <c r="BI354" s="65">
        <f>H354*AP354</f>
        <v>0</v>
      </c>
      <c r="BJ354" s="65">
        <f>H354*I354</f>
        <v>1047</v>
      </c>
      <c r="BK354" s="65" t="s">
        <v>1001</v>
      </c>
      <c r="BL354" s="35">
        <v>751</v>
      </c>
    </row>
    <row r="355" spans="1:64" x14ac:dyDescent="0.2">
      <c r="A355" s="19"/>
      <c r="C355" s="59" t="s">
        <v>521</v>
      </c>
      <c r="D355" s="180" t="s">
        <v>937</v>
      </c>
      <c r="E355" s="181"/>
      <c r="F355" s="181"/>
      <c r="G355" s="181"/>
      <c r="H355" s="181"/>
      <c r="I355" s="182"/>
      <c r="J355" s="181"/>
      <c r="K355" s="181"/>
      <c r="L355" s="181"/>
      <c r="M355" s="183"/>
      <c r="N355" s="19"/>
    </row>
    <row r="356" spans="1:64" x14ac:dyDescent="0.2">
      <c r="A356" s="47" t="s">
        <v>298</v>
      </c>
      <c r="B356" s="55" t="s">
        <v>64</v>
      </c>
      <c r="C356" s="55" t="s">
        <v>604</v>
      </c>
      <c r="D356" s="178" t="s">
        <v>938</v>
      </c>
      <c r="E356" s="179"/>
      <c r="F356" s="179"/>
      <c r="G356" s="55" t="s">
        <v>1003</v>
      </c>
      <c r="H356" s="64">
        <v>4</v>
      </c>
      <c r="I356" s="71">
        <v>178</v>
      </c>
      <c r="J356" s="64">
        <f>H356*AO356</f>
        <v>0</v>
      </c>
      <c r="K356" s="64">
        <f>H356*AP356</f>
        <v>712</v>
      </c>
      <c r="L356" s="64">
        <f>H356*I356</f>
        <v>712</v>
      </c>
      <c r="M356" s="79"/>
      <c r="N356" s="19"/>
      <c r="Z356" s="35">
        <f>IF(AQ356="5",BJ356,0)</f>
        <v>0</v>
      </c>
      <c r="AB356" s="35">
        <f>IF(AQ356="1",BH356,0)</f>
        <v>0</v>
      </c>
      <c r="AC356" s="35">
        <f>IF(AQ356="1",BI356,0)</f>
        <v>0</v>
      </c>
      <c r="AD356" s="35">
        <f>IF(AQ356="7",BH356,0)</f>
        <v>0</v>
      </c>
      <c r="AE356" s="35">
        <f>IF(AQ356="7",BI356,0)</f>
        <v>712</v>
      </c>
      <c r="AF356" s="35">
        <f>IF(AQ356="2",BH356,0)</f>
        <v>0</v>
      </c>
      <c r="AG356" s="35">
        <f>IF(AQ356="2",BI356,0)</f>
        <v>0</v>
      </c>
      <c r="AH356" s="35">
        <f>IF(AQ356="0",BJ356,0)</f>
        <v>0</v>
      </c>
      <c r="AI356" s="83" t="s">
        <v>64</v>
      </c>
      <c r="AJ356" s="64">
        <f>IF(AN356=0,L356,0)</f>
        <v>0</v>
      </c>
      <c r="AK356" s="64">
        <f>IF(AN356=15,L356,0)</f>
        <v>0</v>
      </c>
      <c r="AL356" s="64">
        <f>IF(AN356=21,L356,0)</f>
        <v>712</v>
      </c>
      <c r="AN356" s="35">
        <v>21</v>
      </c>
      <c r="AO356" s="35">
        <f>I356*0</f>
        <v>0</v>
      </c>
      <c r="AP356" s="35">
        <f>I356*(1-0)</f>
        <v>178</v>
      </c>
      <c r="AQ356" s="84" t="s">
        <v>144</v>
      </c>
      <c r="AV356" s="35">
        <f>AW356+AX356</f>
        <v>712</v>
      </c>
      <c r="AW356" s="35">
        <f>H356*AO356</f>
        <v>0</v>
      </c>
      <c r="AX356" s="35">
        <f>H356*AP356</f>
        <v>712</v>
      </c>
      <c r="AY356" s="86" t="s">
        <v>1046</v>
      </c>
      <c r="AZ356" s="86" t="s">
        <v>1063</v>
      </c>
      <c r="BA356" s="83" t="s">
        <v>1078</v>
      </c>
      <c r="BC356" s="35">
        <f>AW356+AX356</f>
        <v>712</v>
      </c>
      <c r="BD356" s="35">
        <f>I356/(100-BE356)*100</f>
        <v>178</v>
      </c>
      <c r="BE356" s="35">
        <v>0</v>
      </c>
      <c r="BF356" s="35">
        <f>356</f>
        <v>356</v>
      </c>
      <c r="BH356" s="64">
        <f>H356*AO356</f>
        <v>0</v>
      </c>
      <c r="BI356" s="64">
        <f>H356*AP356</f>
        <v>712</v>
      </c>
      <c r="BJ356" s="64">
        <f>H356*I356</f>
        <v>712</v>
      </c>
      <c r="BK356" s="64" t="s">
        <v>1086</v>
      </c>
      <c r="BL356" s="35">
        <v>751</v>
      </c>
    </row>
    <row r="357" spans="1:64" x14ac:dyDescent="0.2">
      <c r="A357" s="19"/>
      <c r="C357" s="59" t="s">
        <v>521</v>
      </c>
      <c r="D357" s="180" t="s">
        <v>938</v>
      </c>
      <c r="E357" s="181"/>
      <c r="F357" s="181"/>
      <c r="G357" s="181"/>
      <c r="H357" s="181"/>
      <c r="I357" s="182"/>
      <c r="J357" s="181"/>
      <c r="K357" s="181"/>
      <c r="L357" s="181"/>
      <c r="M357" s="183"/>
      <c r="N357" s="19"/>
    </row>
    <row r="358" spans="1:64" x14ac:dyDescent="0.2">
      <c r="A358" s="49" t="s">
        <v>299</v>
      </c>
      <c r="B358" s="57" t="s">
        <v>64</v>
      </c>
      <c r="C358" s="57" t="s">
        <v>676</v>
      </c>
      <c r="D358" s="186" t="s">
        <v>939</v>
      </c>
      <c r="E358" s="187"/>
      <c r="F358" s="187"/>
      <c r="G358" s="57" t="s">
        <v>1004</v>
      </c>
      <c r="H358" s="65">
        <v>4</v>
      </c>
      <c r="I358" s="73">
        <v>735</v>
      </c>
      <c r="J358" s="65">
        <f>H358*AO358</f>
        <v>2940</v>
      </c>
      <c r="K358" s="65">
        <f>H358*AP358</f>
        <v>0</v>
      </c>
      <c r="L358" s="65">
        <f>H358*I358</f>
        <v>2940</v>
      </c>
      <c r="M358" s="81"/>
      <c r="N358" s="19"/>
      <c r="Z358" s="35">
        <f>IF(AQ358="5",BJ358,0)</f>
        <v>0</v>
      </c>
      <c r="AB358" s="35">
        <f>IF(AQ358="1",BH358,0)</f>
        <v>0</v>
      </c>
      <c r="AC358" s="35">
        <f>IF(AQ358="1",BI358,0)</f>
        <v>0</v>
      </c>
      <c r="AD358" s="35">
        <f>IF(AQ358="7",BH358,0)</f>
        <v>2940</v>
      </c>
      <c r="AE358" s="35">
        <f>IF(AQ358="7",BI358,0)</f>
        <v>0</v>
      </c>
      <c r="AF358" s="35">
        <f>IF(AQ358="2",BH358,0)</f>
        <v>0</v>
      </c>
      <c r="AG358" s="35">
        <f>IF(AQ358="2",BI358,0)</f>
        <v>0</v>
      </c>
      <c r="AH358" s="35">
        <f>IF(AQ358="0",BJ358,0)</f>
        <v>0</v>
      </c>
      <c r="AI358" s="83" t="s">
        <v>64</v>
      </c>
      <c r="AJ358" s="65">
        <f>IF(AN358=0,L358,0)</f>
        <v>0</v>
      </c>
      <c r="AK358" s="65">
        <f>IF(AN358=15,L358,0)</f>
        <v>0</v>
      </c>
      <c r="AL358" s="65">
        <f>IF(AN358=21,L358,0)</f>
        <v>2940</v>
      </c>
      <c r="AN358" s="35">
        <v>21</v>
      </c>
      <c r="AO358" s="35">
        <f>I358*1</f>
        <v>735</v>
      </c>
      <c r="AP358" s="35">
        <f>I358*(1-1)</f>
        <v>0</v>
      </c>
      <c r="AQ358" s="85" t="s">
        <v>144</v>
      </c>
      <c r="AV358" s="35">
        <f>AW358+AX358</f>
        <v>2940</v>
      </c>
      <c r="AW358" s="35">
        <f>H358*AO358</f>
        <v>2940</v>
      </c>
      <c r="AX358" s="35">
        <f>H358*AP358</f>
        <v>0</v>
      </c>
      <c r="AY358" s="86" t="s">
        <v>1046</v>
      </c>
      <c r="AZ358" s="86" t="s">
        <v>1063</v>
      </c>
      <c r="BA358" s="83" t="s">
        <v>1078</v>
      </c>
      <c r="BC358" s="35">
        <f>AW358+AX358</f>
        <v>2940</v>
      </c>
      <c r="BD358" s="35">
        <f>I358/(100-BE358)*100</f>
        <v>735</v>
      </c>
      <c r="BE358" s="35">
        <v>0</v>
      </c>
      <c r="BF358" s="35">
        <f>358</f>
        <v>358</v>
      </c>
      <c r="BH358" s="65">
        <f>H358*AO358</f>
        <v>2940</v>
      </c>
      <c r="BI358" s="65">
        <f>H358*AP358</f>
        <v>0</v>
      </c>
      <c r="BJ358" s="65">
        <f>H358*I358</f>
        <v>2940</v>
      </c>
      <c r="BK358" s="65" t="s">
        <v>1001</v>
      </c>
      <c r="BL358" s="35">
        <v>751</v>
      </c>
    </row>
    <row r="359" spans="1:64" x14ac:dyDescent="0.2">
      <c r="A359" s="19"/>
      <c r="C359" s="59" t="s">
        <v>521</v>
      </c>
      <c r="D359" s="180" t="s">
        <v>939</v>
      </c>
      <c r="E359" s="181"/>
      <c r="F359" s="181"/>
      <c r="G359" s="181"/>
      <c r="H359" s="181"/>
      <c r="I359" s="182"/>
      <c r="J359" s="181"/>
      <c r="K359" s="181"/>
      <c r="L359" s="181"/>
      <c r="M359" s="183"/>
      <c r="N359" s="19"/>
    </row>
    <row r="360" spans="1:64" x14ac:dyDescent="0.2">
      <c r="A360" s="47" t="s">
        <v>300</v>
      </c>
      <c r="B360" s="55" t="s">
        <v>64</v>
      </c>
      <c r="C360" s="55" t="s">
        <v>606</v>
      </c>
      <c r="D360" s="178" t="s">
        <v>940</v>
      </c>
      <c r="E360" s="179"/>
      <c r="F360" s="179"/>
      <c r="G360" s="55" t="s">
        <v>1003</v>
      </c>
      <c r="H360" s="64">
        <v>12</v>
      </c>
      <c r="I360" s="71">
        <v>178</v>
      </c>
      <c r="J360" s="64">
        <f>H360*AO360</f>
        <v>0</v>
      </c>
      <c r="K360" s="64">
        <f>H360*AP360</f>
        <v>2136</v>
      </c>
      <c r="L360" s="64">
        <f>H360*I360</f>
        <v>2136</v>
      </c>
      <c r="M360" s="79"/>
      <c r="N360" s="19"/>
      <c r="Z360" s="35">
        <f>IF(AQ360="5",BJ360,0)</f>
        <v>0</v>
      </c>
      <c r="AB360" s="35">
        <f>IF(AQ360="1",BH360,0)</f>
        <v>0</v>
      </c>
      <c r="AC360" s="35">
        <f>IF(AQ360="1",BI360,0)</f>
        <v>0</v>
      </c>
      <c r="AD360" s="35">
        <f>IF(AQ360="7",BH360,0)</f>
        <v>0</v>
      </c>
      <c r="AE360" s="35">
        <f>IF(AQ360="7",BI360,0)</f>
        <v>2136</v>
      </c>
      <c r="AF360" s="35">
        <f>IF(AQ360="2",BH360,0)</f>
        <v>0</v>
      </c>
      <c r="AG360" s="35">
        <f>IF(AQ360="2",BI360,0)</f>
        <v>0</v>
      </c>
      <c r="AH360" s="35">
        <f>IF(AQ360="0",BJ360,0)</f>
        <v>0</v>
      </c>
      <c r="AI360" s="83" t="s">
        <v>64</v>
      </c>
      <c r="AJ360" s="64">
        <f>IF(AN360=0,L360,0)</f>
        <v>0</v>
      </c>
      <c r="AK360" s="64">
        <f>IF(AN360=15,L360,0)</f>
        <v>0</v>
      </c>
      <c r="AL360" s="64">
        <f>IF(AN360=21,L360,0)</f>
        <v>2136</v>
      </c>
      <c r="AN360" s="35">
        <v>21</v>
      </c>
      <c r="AO360" s="35">
        <f>I360*0</f>
        <v>0</v>
      </c>
      <c r="AP360" s="35">
        <f>I360*(1-0)</f>
        <v>178</v>
      </c>
      <c r="AQ360" s="84" t="s">
        <v>144</v>
      </c>
      <c r="AV360" s="35">
        <f>AW360+AX360</f>
        <v>2136</v>
      </c>
      <c r="AW360" s="35">
        <f>H360*AO360</f>
        <v>0</v>
      </c>
      <c r="AX360" s="35">
        <f>H360*AP360</f>
        <v>2136</v>
      </c>
      <c r="AY360" s="86" t="s">
        <v>1046</v>
      </c>
      <c r="AZ360" s="86" t="s">
        <v>1063</v>
      </c>
      <c r="BA360" s="83" t="s">
        <v>1078</v>
      </c>
      <c r="BC360" s="35">
        <f>AW360+AX360</f>
        <v>2136</v>
      </c>
      <c r="BD360" s="35">
        <f>I360/(100-BE360)*100</f>
        <v>178</v>
      </c>
      <c r="BE360" s="35">
        <v>0</v>
      </c>
      <c r="BF360" s="35">
        <f>360</f>
        <v>360</v>
      </c>
      <c r="BH360" s="64">
        <f>H360*AO360</f>
        <v>0</v>
      </c>
      <c r="BI360" s="64">
        <f>H360*AP360</f>
        <v>2136</v>
      </c>
      <c r="BJ360" s="64">
        <f>H360*I360</f>
        <v>2136</v>
      </c>
      <c r="BK360" s="64" t="s">
        <v>1086</v>
      </c>
      <c r="BL360" s="35">
        <v>751</v>
      </c>
    </row>
    <row r="361" spans="1:64" x14ac:dyDescent="0.2">
      <c r="A361" s="19"/>
      <c r="C361" s="59" t="s">
        <v>521</v>
      </c>
      <c r="D361" s="180" t="s">
        <v>940</v>
      </c>
      <c r="E361" s="181"/>
      <c r="F361" s="181"/>
      <c r="G361" s="181"/>
      <c r="H361" s="181"/>
      <c r="I361" s="182"/>
      <c r="J361" s="181"/>
      <c r="K361" s="181"/>
      <c r="L361" s="181"/>
      <c r="M361" s="183"/>
      <c r="N361" s="19"/>
    </row>
    <row r="362" spans="1:64" x14ac:dyDescent="0.2">
      <c r="A362" s="49" t="s">
        <v>301</v>
      </c>
      <c r="B362" s="57" t="s">
        <v>64</v>
      </c>
      <c r="C362" s="57" t="s">
        <v>677</v>
      </c>
      <c r="D362" s="186" t="s">
        <v>941</v>
      </c>
      <c r="E362" s="187"/>
      <c r="F362" s="187"/>
      <c r="G362" s="57" t="s">
        <v>1004</v>
      </c>
      <c r="H362" s="65">
        <v>2</v>
      </c>
      <c r="I362" s="73">
        <v>751</v>
      </c>
      <c r="J362" s="65">
        <f>H362*AO362</f>
        <v>1502</v>
      </c>
      <c r="K362" s="65">
        <f>H362*AP362</f>
        <v>0</v>
      </c>
      <c r="L362" s="65">
        <f>H362*I362</f>
        <v>1502</v>
      </c>
      <c r="M362" s="81"/>
      <c r="N362" s="19"/>
      <c r="Z362" s="35">
        <f>IF(AQ362="5",BJ362,0)</f>
        <v>0</v>
      </c>
      <c r="AB362" s="35">
        <f>IF(AQ362="1",BH362,0)</f>
        <v>0</v>
      </c>
      <c r="AC362" s="35">
        <f>IF(AQ362="1",BI362,0)</f>
        <v>0</v>
      </c>
      <c r="AD362" s="35">
        <f>IF(AQ362="7",BH362,0)</f>
        <v>1502</v>
      </c>
      <c r="AE362" s="35">
        <f>IF(AQ362="7",BI362,0)</f>
        <v>0</v>
      </c>
      <c r="AF362" s="35">
        <f>IF(AQ362="2",BH362,0)</f>
        <v>0</v>
      </c>
      <c r="AG362" s="35">
        <f>IF(AQ362="2",BI362,0)</f>
        <v>0</v>
      </c>
      <c r="AH362" s="35">
        <f>IF(AQ362="0",BJ362,0)</f>
        <v>0</v>
      </c>
      <c r="AI362" s="83" t="s">
        <v>64</v>
      </c>
      <c r="AJ362" s="65">
        <f>IF(AN362=0,L362,0)</f>
        <v>0</v>
      </c>
      <c r="AK362" s="65">
        <f>IF(AN362=15,L362,0)</f>
        <v>0</v>
      </c>
      <c r="AL362" s="65">
        <f>IF(AN362=21,L362,0)</f>
        <v>1502</v>
      </c>
      <c r="AN362" s="35">
        <v>21</v>
      </c>
      <c r="AO362" s="35">
        <f>I362*1</f>
        <v>751</v>
      </c>
      <c r="AP362" s="35">
        <f>I362*(1-1)</f>
        <v>0</v>
      </c>
      <c r="AQ362" s="85" t="s">
        <v>144</v>
      </c>
      <c r="AV362" s="35">
        <f>AW362+AX362</f>
        <v>1502</v>
      </c>
      <c r="AW362" s="35">
        <f>H362*AO362</f>
        <v>1502</v>
      </c>
      <c r="AX362" s="35">
        <f>H362*AP362</f>
        <v>0</v>
      </c>
      <c r="AY362" s="86" t="s">
        <v>1046</v>
      </c>
      <c r="AZ362" s="86" t="s">
        <v>1063</v>
      </c>
      <c r="BA362" s="83" t="s">
        <v>1078</v>
      </c>
      <c r="BC362" s="35">
        <f>AW362+AX362</f>
        <v>1502</v>
      </c>
      <c r="BD362" s="35">
        <f>I362/(100-BE362)*100</f>
        <v>751</v>
      </c>
      <c r="BE362" s="35">
        <v>0</v>
      </c>
      <c r="BF362" s="35">
        <f>362</f>
        <v>362</v>
      </c>
      <c r="BH362" s="65">
        <f>H362*AO362</f>
        <v>1502</v>
      </c>
      <c r="BI362" s="65">
        <f>H362*AP362</f>
        <v>0</v>
      </c>
      <c r="BJ362" s="65">
        <f>H362*I362</f>
        <v>1502</v>
      </c>
      <c r="BK362" s="65" t="s">
        <v>1001</v>
      </c>
      <c r="BL362" s="35">
        <v>751</v>
      </c>
    </row>
    <row r="363" spans="1:64" x14ac:dyDescent="0.2">
      <c r="A363" s="19"/>
      <c r="C363" s="59" t="s">
        <v>521</v>
      </c>
      <c r="D363" s="180" t="s">
        <v>941</v>
      </c>
      <c r="E363" s="181"/>
      <c r="F363" s="181"/>
      <c r="G363" s="181"/>
      <c r="H363" s="181"/>
      <c r="I363" s="182"/>
      <c r="J363" s="181"/>
      <c r="K363" s="181"/>
      <c r="L363" s="181"/>
      <c r="M363" s="183"/>
      <c r="N363" s="19"/>
    </row>
    <row r="364" spans="1:64" x14ac:dyDescent="0.2">
      <c r="A364" s="49" t="s">
        <v>302</v>
      </c>
      <c r="B364" s="57" t="s">
        <v>64</v>
      </c>
      <c r="C364" s="57" t="s">
        <v>678</v>
      </c>
      <c r="D364" s="186" t="s">
        <v>943</v>
      </c>
      <c r="E364" s="187"/>
      <c r="F364" s="187"/>
      <c r="G364" s="57" t="s">
        <v>1004</v>
      </c>
      <c r="H364" s="65">
        <v>2</v>
      </c>
      <c r="I364" s="73">
        <v>751</v>
      </c>
      <c r="J364" s="65">
        <f>H364*AO364</f>
        <v>1502</v>
      </c>
      <c r="K364" s="65">
        <f>H364*AP364</f>
        <v>0</v>
      </c>
      <c r="L364" s="65">
        <f>H364*I364</f>
        <v>1502</v>
      </c>
      <c r="M364" s="81"/>
      <c r="N364" s="19"/>
      <c r="Z364" s="35">
        <f>IF(AQ364="5",BJ364,0)</f>
        <v>0</v>
      </c>
      <c r="AB364" s="35">
        <f>IF(AQ364="1",BH364,0)</f>
        <v>0</v>
      </c>
      <c r="AC364" s="35">
        <f>IF(AQ364="1",BI364,0)</f>
        <v>0</v>
      </c>
      <c r="AD364" s="35">
        <f>IF(AQ364="7",BH364,0)</f>
        <v>1502</v>
      </c>
      <c r="AE364" s="35">
        <f>IF(AQ364="7",BI364,0)</f>
        <v>0</v>
      </c>
      <c r="AF364" s="35">
        <f>IF(AQ364="2",BH364,0)</f>
        <v>0</v>
      </c>
      <c r="AG364" s="35">
        <f>IF(AQ364="2",BI364,0)</f>
        <v>0</v>
      </c>
      <c r="AH364" s="35">
        <f>IF(AQ364="0",BJ364,0)</f>
        <v>0</v>
      </c>
      <c r="AI364" s="83" t="s">
        <v>64</v>
      </c>
      <c r="AJ364" s="65">
        <f>IF(AN364=0,L364,0)</f>
        <v>0</v>
      </c>
      <c r="AK364" s="65">
        <f>IF(AN364=15,L364,0)</f>
        <v>0</v>
      </c>
      <c r="AL364" s="65">
        <f>IF(AN364=21,L364,0)</f>
        <v>1502</v>
      </c>
      <c r="AN364" s="35">
        <v>21</v>
      </c>
      <c r="AO364" s="35">
        <f>I364*1</f>
        <v>751</v>
      </c>
      <c r="AP364" s="35">
        <f>I364*(1-1)</f>
        <v>0</v>
      </c>
      <c r="AQ364" s="85" t="s">
        <v>144</v>
      </c>
      <c r="AV364" s="35">
        <f>AW364+AX364</f>
        <v>1502</v>
      </c>
      <c r="AW364" s="35">
        <f>H364*AO364</f>
        <v>1502</v>
      </c>
      <c r="AX364" s="35">
        <f>H364*AP364</f>
        <v>0</v>
      </c>
      <c r="AY364" s="86" t="s">
        <v>1046</v>
      </c>
      <c r="AZ364" s="86" t="s">
        <v>1063</v>
      </c>
      <c r="BA364" s="83" t="s">
        <v>1078</v>
      </c>
      <c r="BC364" s="35">
        <f>AW364+AX364</f>
        <v>1502</v>
      </c>
      <c r="BD364" s="35">
        <f>I364/(100-BE364)*100</f>
        <v>751</v>
      </c>
      <c r="BE364" s="35">
        <v>0</v>
      </c>
      <c r="BF364" s="35">
        <f>364</f>
        <v>364</v>
      </c>
      <c r="BH364" s="65">
        <f>H364*AO364</f>
        <v>1502</v>
      </c>
      <c r="BI364" s="65">
        <f>H364*AP364</f>
        <v>0</v>
      </c>
      <c r="BJ364" s="65">
        <f>H364*I364</f>
        <v>1502</v>
      </c>
      <c r="BK364" s="65" t="s">
        <v>1001</v>
      </c>
      <c r="BL364" s="35">
        <v>751</v>
      </c>
    </row>
    <row r="365" spans="1:64" x14ac:dyDescent="0.2">
      <c r="A365" s="19"/>
      <c r="C365" s="59" t="s">
        <v>521</v>
      </c>
      <c r="D365" s="180" t="s">
        <v>943</v>
      </c>
      <c r="E365" s="181"/>
      <c r="F365" s="181"/>
      <c r="G365" s="181"/>
      <c r="H365" s="181"/>
      <c r="I365" s="182"/>
      <c r="J365" s="181"/>
      <c r="K365" s="181"/>
      <c r="L365" s="181"/>
      <c r="M365" s="183"/>
      <c r="N365" s="19"/>
    </row>
    <row r="366" spans="1:64" x14ac:dyDescent="0.2">
      <c r="A366" s="49" t="s">
        <v>303</v>
      </c>
      <c r="B366" s="57" t="s">
        <v>64</v>
      </c>
      <c r="C366" s="57" t="s">
        <v>679</v>
      </c>
      <c r="D366" s="186" t="s">
        <v>944</v>
      </c>
      <c r="E366" s="187"/>
      <c r="F366" s="187"/>
      <c r="G366" s="57" t="s">
        <v>1004</v>
      </c>
      <c r="H366" s="65">
        <v>2</v>
      </c>
      <c r="I366" s="73">
        <v>642</v>
      </c>
      <c r="J366" s="65">
        <f>H366*AO366</f>
        <v>1284</v>
      </c>
      <c r="K366" s="65">
        <f>H366*AP366</f>
        <v>0</v>
      </c>
      <c r="L366" s="65">
        <f>H366*I366</f>
        <v>1284</v>
      </c>
      <c r="M366" s="81"/>
      <c r="N366" s="19"/>
      <c r="Z366" s="35">
        <f>IF(AQ366="5",BJ366,0)</f>
        <v>0</v>
      </c>
      <c r="AB366" s="35">
        <f>IF(AQ366="1",BH366,0)</f>
        <v>0</v>
      </c>
      <c r="AC366" s="35">
        <f>IF(AQ366="1",BI366,0)</f>
        <v>0</v>
      </c>
      <c r="AD366" s="35">
        <f>IF(AQ366="7",BH366,0)</f>
        <v>1284</v>
      </c>
      <c r="AE366" s="35">
        <f>IF(AQ366="7",BI366,0)</f>
        <v>0</v>
      </c>
      <c r="AF366" s="35">
        <f>IF(AQ366="2",BH366,0)</f>
        <v>0</v>
      </c>
      <c r="AG366" s="35">
        <f>IF(AQ366="2",BI366,0)</f>
        <v>0</v>
      </c>
      <c r="AH366" s="35">
        <f>IF(AQ366="0",BJ366,0)</f>
        <v>0</v>
      </c>
      <c r="AI366" s="83" t="s">
        <v>64</v>
      </c>
      <c r="AJ366" s="65">
        <f>IF(AN366=0,L366,0)</f>
        <v>0</v>
      </c>
      <c r="AK366" s="65">
        <f>IF(AN366=15,L366,0)</f>
        <v>0</v>
      </c>
      <c r="AL366" s="65">
        <f>IF(AN366=21,L366,0)</f>
        <v>1284</v>
      </c>
      <c r="AN366" s="35">
        <v>21</v>
      </c>
      <c r="AO366" s="35">
        <f>I366*1</f>
        <v>642</v>
      </c>
      <c r="AP366" s="35">
        <f>I366*(1-1)</f>
        <v>0</v>
      </c>
      <c r="AQ366" s="85" t="s">
        <v>144</v>
      </c>
      <c r="AV366" s="35">
        <f>AW366+AX366</f>
        <v>1284</v>
      </c>
      <c r="AW366" s="35">
        <f>H366*AO366</f>
        <v>1284</v>
      </c>
      <c r="AX366" s="35">
        <f>H366*AP366</f>
        <v>0</v>
      </c>
      <c r="AY366" s="86" t="s">
        <v>1046</v>
      </c>
      <c r="AZ366" s="86" t="s">
        <v>1063</v>
      </c>
      <c r="BA366" s="83" t="s">
        <v>1078</v>
      </c>
      <c r="BC366" s="35">
        <f>AW366+AX366</f>
        <v>1284</v>
      </c>
      <c r="BD366" s="35">
        <f>I366/(100-BE366)*100</f>
        <v>642</v>
      </c>
      <c r="BE366" s="35">
        <v>0</v>
      </c>
      <c r="BF366" s="35">
        <f>366</f>
        <v>366</v>
      </c>
      <c r="BH366" s="65">
        <f>H366*AO366</f>
        <v>1284</v>
      </c>
      <c r="BI366" s="65">
        <f>H366*AP366</f>
        <v>0</v>
      </c>
      <c r="BJ366" s="65">
        <f>H366*I366</f>
        <v>1284</v>
      </c>
      <c r="BK366" s="65" t="s">
        <v>1001</v>
      </c>
      <c r="BL366" s="35">
        <v>751</v>
      </c>
    </row>
    <row r="367" spans="1:64" x14ac:dyDescent="0.2">
      <c r="A367" s="19"/>
      <c r="C367" s="59" t="s">
        <v>521</v>
      </c>
      <c r="D367" s="180" t="s">
        <v>944</v>
      </c>
      <c r="E367" s="181"/>
      <c r="F367" s="181"/>
      <c r="G367" s="181"/>
      <c r="H367" s="181"/>
      <c r="I367" s="182"/>
      <c r="J367" s="181"/>
      <c r="K367" s="181"/>
      <c r="L367" s="181"/>
      <c r="M367" s="183"/>
      <c r="N367" s="19"/>
    </row>
    <row r="368" spans="1:64" x14ac:dyDescent="0.2">
      <c r="A368" s="49" t="s">
        <v>304</v>
      </c>
      <c r="B368" s="57" t="s">
        <v>64</v>
      </c>
      <c r="C368" s="57" t="s">
        <v>680</v>
      </c>
      <c r="D368" s="186" t="s">
        <v>945</v>
      </c>
      <c r="E368" s="187"/>
      <c r="F368" s="187"/>
      <c r="G368" s="57" t="s">
        <v>1004</v>
      </c>
      <c r="H368" s="65">
        <v>2</v>
      </c>
      <c r="I368" s="73">
        <v>408</v>
      </c>
      <c r="J368" s="65">
        <f>H368*AO368</f>
        <v>816</v>
      </c>
      <c r="K368" s="65">
        <f>H368*AP368</f>
        <v>0</v>
      </c>
      <c r="L368" s="65">
        <f>H368*I368</f>
        <v>816</v>
      </c>
      <c r="M368" s="81"/>
      <c r="N368" s="19"/>
      <c r="Z368" s="35">
        <f>IF(AQ368="5",BJ368,0)</f>
        <v>0</v>
      </c>
      <c r="AB368" s="35">
        <f>IF(AQ368="1",BH368,0)</f>
        <v>0</v>
      </c>
      <c r="AC368" s="35">
        <f>IF(AQ368="1",BI368,0)</f>
        <v>0</v>
      </c>
      <c r="AD368" s="35">
        <f>IF(AQ368="7",BH368,0)</f>
        <v>816</v>
      </c>
      <c r="AE368" s="35">
        <f>IF(AQ368="7",BI368,0)</f>
        <v>0</v>
      </c>
      <c r="AF368" s="35">
        <f>IF(AQ368="2",BH368,0)</f>
        <v>0</v>
      </c>
      <c r="AG368" s="35">
        <f>IF(AQ368="2",BI368,0)</f>
        <v>0</v>
      </c>
      <c r="AH368" s="35">
        <f>IF(AQ368="0",BJ368,0)</f>
        <v>0</v>
      </c>
      <c r="AI368" s="83" t="s">
        <v>64</v>
      </c>
      <c r="AJ368" s="65">
        <f>IF(AN368=0,L368,0)</f>
        <v>0</v>
      </c>
      <c r="AK368" s="65">
        <f>IF(AN368=15,L368,0)</f>
        <v>0</v>
      </c>
      <c r="AL368" s="65">
        <f>IF(AN368=21,L368,0)</f>
        <v>816</v>
      </c>
      <c r="AN368" s="35">
        <v>21</v>
      </c>
      <c r="AO368" s="35">
        <f>I368*1</f>
        <v>408</v>
      </c>
      <c r="AP368" s="35">
        <f>I368*(1-1)</f>
        <v>0</v>
      </c>
      <c r="AQ368" s="85" t="s">
        <v>144</v>
      </c>
      <c r="AV368" s="35">
        <f>AW368+AX368</f>
        <v>816</v>
      </c>
      <c r="AW368" s="35">
        <f>H368*AO368</f>
        <v>816</v>
      </c>
      <c r="AX368" s="35">
        <f>H368*AP368</f>
        <v>0</v>
      </c>
      <c r="AY368" s="86" t="s">
        <v>1046</v>
      </c>
      <c r="AZ368" s="86" t="s">
        <v>1063</v>
      </c>
      <c r="BA368" s="83" t="s">
        <v>1078</v>
      </c>
      <c r="BC368" s="35">
        <f>AW368+AX368</f>
        <v>816</v>
      </c>
      <c r="BD368" s="35">
        <f>I368/(100-BE368)*100</f>
        <v>408</v>
      </c>
      <c r="BE368" s="35">
        <v>0</v>
      </c>
      <c r="BF368" s="35">
        <f>368</f>
        <v>368</v>
      </c>
      <c r="BH368" s="65">
        <f>H368*AO368</f>
        <v>816</v>
      </c>
      <c r="BI368" s="65">
        <f>H368*AP368</f>
        <v>0</v>
      </c>
      <c r="BJ368" s="65">
        <f>H368*I368</f>
        <v>816</v>
      </c>
      <c r="BK368" s="65" t="s">
        <v>1001</v>
      </c>
      <c r="BL368" s="35">
        <v>751</v>
      </c>
    </row>
    <row r="369" spans="1:64" x14ac:dyDescent="0.2">
      <c r="A369" s="19"/>
      <c r="C369" s="59" t="s">
        <v>521</v>
      </c>
      <c r="D369" s="180" t="s">
        <v>945</v>
      </c>
      <c r="E369" s="181"/>
      <c r="F369" s="181"/>
      <c r="G369" s="181"/>
      <c r="H369" s="181"/>
      <c r="I369" s="182"/>
      <c r="J369" s="181"/>
      <c r="K369" s="181"/>
      <c r="L369" s="181"/>
      <c r="M369" s="183"/>
      <c r="N369" s="19"/>
    </row>
    <row r="370" spans="1:64" x14ac:dyDescent="0.2">
      <c r="A370" s="49" t="s">
        <v>305</v>
      </c>
      <c r="B370" s="57" t="s">
        <v>64</v>
      </c>
      <c r="C370" s="57" t="s">
        <v>681</v>
      </c>
      <c r="D370" s="186" t="s">
        <v>946</v>
      </c>
      <c r="E370" s="187"/>
      <c r="F370" s="187"/>
      <c r="G370" s="57" t="s">
        <v>1004</v>
      </c>
      <c r="H370" s="65">
        <v>2</v>
      </c>
      <c r="I370" s="73">
        <v>221</v>
      </c>
      <c r="J370" s="65">
        <f>H370*AO370</f>
        <v>442</v>
      </c>
      <c r="K370" s="65">
        <f>H370*AP370</f>
        <v>0</v>
      </c>
      <c r="L370" s="65">
        <f>H370*I370</f>
        <v>442</v>
      </c>
      <c r="M370" s="81"/>
      <c r="N370" s="19"/>
      <c r="Z370" s="35">
        <f>IF(AQ370="5",BJ370,0)</f>
        <v>0</v>
      </c>
      <c r="AB370" s="35">
        <f>IF(AQ370="1",BH370,0)</f>
        <v>0</v>
      </c>
      <c r="AC370" s="35">
        <f>IF(AQ370="1",BI370,0)</f>
        <v>0</v>
      </c>
      <c r="AD370" s="35">
        <f>IF(AQ370="7",BH370,0)</f>
        <v>442</v>
      </c>
      <c r="AE370" s="35">
        <f>IF(AQ370="7",BI370,0)</f>
        <v>0</v>
      </c>
      <c r="AF370" s="35">
        <f>IF(AQ370="2",BH370,0)</f>
        <v>0</v>
      </c>
      <c r="AG370" s="35">
        <f>IF(AQ370="2",BI370,0)</f>
        <v>0</v>
      </c>
      <c r="AH370" s="35">
        <f>IF(AQ370="0",BJ370,0)</f>
        <v>0</v>
      </c>
      <c r="AI370" s="83" t="s">
        <v>64</v>
      </c>
      <c r="AJ370" s="65">
        <f>IF(AN370=0,L370,0)</f>
        <v>0</v>
      </c>
      <c r="AK370" s="65">
        <f>IF(AN370=15,L370,0)</f>
        <v>0</v>
      </c>
      <c r="AL370" s="65">
        <f>IF(AN370=21,L370,0)</f>
        <v>442</v>
      </c>
      <c r="AN370" s="35">
        <v>21</v>
      </c>
      <c r="AO370" s="35">
        <f>I370*1</f>
        <v>221</v>
      </c>
      <c r="AP370" s="35">
        <f>I370*(1-1)</f>
        <v>0</v>
      </c>
      <c r="AQ370" s="85" t="s">
        <v>144</v>
      </c>
      <c r="AV370" s="35">
        <f>AW370+AX370</f>
        <v>442</v>
      </c>
      <c r="AW370" s="35">
        <f>H370*AO370</f>
        <v>442</v>
      </c>
      <c r="AX370" s="35">
        <f>H370*AP370</f>
        <v>0</v>
      </c>
      <c r="AY370" s="86" t="s">
        <v>1046</v>
      </c>
      <c r="AZ370" s="86" t="s">
        <v>1063</v>
      </c>
      <c r="BA370" s="83" t="s">
        <v>1078</v>
      </c>
      <c r="BC370" s="35">
        <f>AW370+AX370</f>
        <v>442</v>
      </c>
      <c r="BD370" s="35">
        <f>I370/(100-BE370)*100</f>
        <v>221</v>
      </c>
      <c r="BE370" s="35">
        <v>0</v>
      </c>
      <c r="BF370" s="35">
        <f>370</f>
        <v>370</v>
      </c>
      <c r="BH370" s="65">
        <f>H370*AO370</f>
        <v>442</v>
      </c>
      <c r="BI370" s="65">
        <f>H370*AP370</f>
        <v>0</v>
      </c>
      <c r="BJ370" s="65">
        <f>H370*I370</f>
        <v>442</v>
      </c>
      <c r="BK370" s="65" t="s">
        <v>1001</v>
      </c>
      <c r="BL370" s="35">
        <v>751</v>
      </c>
    </row>
    <row r="371" spans="1:64" x14ac:dyDescent="0.2">
      <c r="A371" s="19"/>
      <c r="C371" s="59" t="s">
        <v>521</v>
      </c>
      <c r="D371" s="180" t="s">
        <v>945</v>
      </c>
      <c r="E371" s="181"/>
      <c r="F371" s="181"/>
      <c r="G371" s="181"/>
      <c r="H371" s="181"/>
      <c r="I371" s="182"/>
      <c r="J371" s="181"/>
      <c r="K371" s="181"/>
      <c r="L371" s="181"/>
      <c r="M371" s="183"/>
      <c r="N371" s="19"/>
    </row>
    <row r="372" spans="1:64" x14ac:dyDescent="0.2">
      <c r="A372" s="49" t="s">
        <v>306</v>
      </c>
      <c r="B372" s="57" t="s">
        <v>64</v>
      </c>
      <c r="C372" s="57" t="s">
        <v>682</v>
      </c>
      <c r="D372" s="186" t="s">
        <v>942</v>
      </c>
      <c r="E372" s="187"/>
      <c r="F372" s="187"/>
      <c r="G372" s="57" t="s">
        <v>1004</v>
      </c>
      <c r="H372" s="65">
        <v>1</v>
      </c>
      <c r="I372" s="73">
        <v>642</v>
      </c>
      <c r="J372" s="65">
        <f>H372*AO372</f>
        <v>642</v>
      </c>
      <c r="K372" s="65">
        <f>H372*AP372</f>
        <v>0</v>
      </c>
      <c r="L372" s="65">
        <f>H372*I372</f>
        <v>642</v>
      </c>
      <c r="M372" s="81"/>
      <c r="N372" s="19"/>
      <c r="Z372" s="35">
        <f>IF(AQ372="5",BJ372,0)</f>
        <v>0</v>
      </c>
      <c r="AB372" s="35">
        <f>IF(AQ372="1",BH372,0)</f>
        <v>0</v>
      </c>
      <c r="AC372" s="35">
        <f>IF(AQ372="1",BI372,0)</f>
        <v>0</v>
      </c>
      <c r="AD372" s="35">
        <f>IF(AQ372="7",BH372,0)</f>
        <v>642</v>
      </c>
      <c r="AE372" s="35">
        <f>IF(AQ372="7",BI372,0)</f>
        <v>0</v>
      </c>
      <c r="AF372" s="35">
        <f>IF(AQ372="2",BH372,0)</f>
        <v>0</v>
      </c>
      <c r="AG372" s="35">
        <f>IF(AQ372="2",BI372,0)</f>
        <v>0</v>
      </c>
      <c r="AH372" s="35">
        <f>IF(AQ372="0",BJ372,0)</f>
        <v>0</v>
      </c>
      <c r="AI372" s="83" t="s">
        <v>64</v>
      </c>
      <c r="AJ372" s="65">
        <f>IF(AN372=0,L372,0)</f>
        <v>0</v>
      </c>
      <c r="AK372" s="65">
        <f>IF(AN372=15,L372,0)</f>
        <v>0</v>
      </c>
      <c r="AL372" s="65">
        <f>IF(AN372=21,L372,0)</f>
        <v>642</v>
      </c>
      <c r="AN372" s="35">
        <v>21</v>
      </c>
      <c r="AO372" s="35">
        <f>I372*1</f>
        <v>642</v>
      </c>
      <c r="AP372" s="35">
        <f>I372*(1-1)</f>
        <v>0</v>
      </c>
      <c r="AQ372" s="85" t="s">
        <v>144</v>
      </c>
      <c r="AV372" s="35">
        <f>AW372+AX372</f>
        <v>642</v>
      </c>
      <c r="AW372" s="35">
        <f>H372*AO372</f>
        <v>642</v>
      </c>
      <c r="AX372" s="35">
        <f>H372*AP372</f>
        <v>0</v>
      </c>
      <c r="AY372" s="86" t="s">
        <v>1046</v>
      </c>
      <c r="AZ372" s="86" t="s">
        <v>1063</v>
      </c>
      <c r="BA372" s="83" t="s">
        <v>1078</v>
      </c>
      <c r="BC372" s="35">
        <f>AW372+AX372</f>
        <v>642</v>
      </c>
      <c r="BD372" s="35">
        <f>I372/(100-BE372)*100</f>
        <v>642</v>
      </c>
      <c r="BE372" s="35">
        <v>0</v>
      </c>
      <c r="BF372" s="35">
        <f>372</f>
        <v>372</v>
      </c>
      <c r="BH372" s="65">
        <f>H372*AO372</f>
        <v>642</v>
      </c>
      <c r="BI372" s="65">
        <f>H372*AP372</f>
        <v>0</v>
      </c>
      <c r="BJ372" s="65">
        <f>H372*I372</f>
        <v>642</v>
      </c>
      <c r="BK372" s="65" t="s">
        <v>1001</v>
      </c>
      <c r="BL372" s="35">
        <v>751</v>
      </c>
    </row>
    <row r="373" spans="1:64" x14ac:dyDescent="0.2">
      <c r="A373" s="19"/>
      <c r="C373" s="59" t="s">
        <v>521</v>
      </c>
      <c r="D373" s="180" t="s">
        <v>942</v>
      </c>
      <c r="E373" s="181"/>
      <c r="F373" s="181"/>
      <c r="G373" s="181"/>
      <c r="H373" s="181"/>
      <c r="I373" s="182"/>
      <c r="J373" s="181"/>
      <c r="K373" s="181"/>
      <c r="L373" s="181"/>
      <c r="M373" s="183"/>
      <c r="N373" s="19"/>
    </row>
    <row r="374" spans="1:64" x14ac:dyDescent="0.2">
      <c r="A374" s="49" t="s">
        <v>307</v>
      </c>
      <c r="B374" s="57" t="s">
        <v>64</v>
      </c>
      <c r="C374" s="57" t="s">
        <v>683</v>
      </c>
      <c r="D374" s="186" t="s">
        <v>947</v>
      </c>
      <c r="E374" s="187"/>
      <c r="F374" s="187"/>
      <c r="G374" s="57" t="s">
        <v>1004</v>
      </c>
      <c r="H374" s="65">
        <v>1</v>
      </c>
      <c r="I374" s="73">
        <v>221</v>
      </c>
      <c r="J374" s="65">
        <f>H374*AO374</f>
        <v>221</v>
      </c>
      <c r="K374" s="65">
        <f>H374*AP374</f>
        <v>0</v>
      </c>
      <c r="L374" s="65">
        <f>H374*I374</f>
        <v>221</v>
      </c>
      <c r="M374" s="81"/>
      <c r="N374" s="19"/>
      <c r="Z374" s="35">
        <f>IF(AQ374="5",BJ374,0)</f>
        <v>0</v>
      </c>
      <c r="AB374" s="35">
        <f>IF(AQ374="1",BH374,0)</f>
        <v>0</v>
      </c>
      <c r="AC374" s="35">
        <f>IF(AQ374="1",BI374,0)</f>
        <v>0</v>
      </c>
      <c r="AD374" s="35">
        <f>IF(AQ374="7",BH374,0)</f>
        <v>221</v>
      </c>
      <c r="AE374" s="35">
        <f>IF(AQ374="7",BI374,0)</f>
        <v>0</v>
      </c>
      <c r="AF374" s="35">
        <f>IF(AQ374="2",BH374,0)</f>
        <v>0</v>
      </c>
      <c r="AG374" s="35">
        <f>IF(AQ374="2",BI374,0)</f>
        <v>0</v>
      </c>
      <c r="AH374" s="35">
        <f>IF(AQ374="0",BJ374,0)</f>
        <v>0</v>
      </c>
      <c r="AI374" s="83" t="s">
        <v>64</v>
      </c>
      <c r="AJ374" s="65">
        <f>IF(AN374=0,L374,0)</f>
        <v>0</v>
      </c>
      <c r="AK374" s="65">
        <f>IF(AN374=15,L374,0)</f>
        <v>0</v>
      </c>
      <c r="AL374" s="65">
        <f>IF(AN374=21,L374,0)</f>
        <v>221</v>
      </c>
      <c r="AN374" s="35">
        <v>21</v>
      </c>
      <c r="AO374" s="35">
        <f>I374*1</f>
        <v>221</v>
      </c>
      <c r="AP374" s="35">
        <f>I374*(1-1)</f>
        <v>0</v>
      </c>
      <c r="AQ374" s="85" t="s">
        <v>144</v>
      </c>
      <c r="AV374" s="35">
        <f>AW374+AX374</f>
        <v>221</v>
      </c>
      <c r="AW374" s="35">
        <f>H374*AO374</f>
        <v>221</v>
      </c>
      <c r="AX374" s="35">
        <f>H374*AP374</f>
        <v>0</v>
      </c>
      <c r="AY374" s="86" t="s">
        <v>1046</v>
      </c>
      <c r="AZ374" s="86" t="s">
        <v>1063</v>
      </c>
      <c r="BA374" s="83" t="s">
        <v>1078</v>
      </c>
      <c r="BC374" s="35">
        <f>AW374+AX374</f>
        <v>221</v>
      </c>
      <c r="BD374" s="35">
        <f>I374/(100-BE374)*100</f>
        <v>221</v>
      </c>
      <c r="BE374" s="35">
        <v>0</v>
      </c>
      <c r="BF374" s="35">
        <f>374</f>
        <v>374</v>
      </c>
      <c r="BH374" s="65">
        <f>H374*AO374</f>
        <v>221</v>
      </c>
      <c r="BI374" s="65">
        <f>H374*AP374</f>
        <v>0</v>
      </c>
      <c r="BJ374" s="65">
        <f>H374*I374</f>
        <v>221</v>
      </c>
      <c r="BK374" s="65" t="s">
        <v>1001</v>
      </c>
      <c r="BL374" s="35">
        <v>751</v>
      </c>
    </row>
    <row r="375" spans="1:64" x14ac:dyDescent="0.2">
      <c r="A375" s="19"/>
      <c r="C375" s="59" t="s">
        <v>521</v>
      </c>
      <c r="D375" s="180" t="s">
        <v>947</v>
      </c>
      <c r="E375" s="181"/>
      <c r="F375" s="181"/>
      <c r="G375" s="181"/>
      <c r="H375" s="181"/>
      <c r="I375" s="182"/>
      <c r="J375" s="181"/>
      <c r="K375" s="181"/>
      <c r="L375" s="181"/>
      <c r="M375" s="183"/>
      <c r="N375" s="19"/>
    </row>
    <row r="376" spans="1:64" x14ac:dyDescent="0.2">
      <c r="A376" s="47" t="s">
        <v>308</v>
      </c>
      <c r="B376" s="55" t="s">
        <v>64</v>
      </c>
      <c r="C376" s="55" t="s">
        <v>614</v>
      </c>
      <c r="D376" s="178" t="s">
        <v>948</v>
      </c>
      <c r="E376" s="179"/>
      <c r="F376" s="179"/>
      <c r="G376" s="55" t="s">
        <v>1003</v>
      </c>
      <c r="H376" s="64">
        <v>3</v>
      </c>
      <c r="I376" s="71">
        <v>89</v>
      </c>
      <c r="J376" s="64">
        <f>H376*AO376</f>
        <v>0</v>
      </c>
      <c r="K376" s="64">
        <f>H376*AP376</f>
        <v>267</v>
      </c>
      <c r="L376" s="64">
        <f>H376*I376</f>
        <v>267</v>
      </c>
      <c r="M376" s="79"/>
      <c r="N376" s="19"/>
      <c r="Z376" s="35">
        <f>IF(AQ376="5",BJ376,0)</f>
        <v>0</v>
      </c>
      <c r="AB376" s="35">
        <f>IF(AQ376="1",BH376,0)</f>
        <v>0</v>
      </c>
      <c r="AC376" s="35">
        <f>IF(AQ376="1",BI376,0)</f>
        <v>0</v>
      </c>
      <c r="AD376" s="35">
        <f>IF(AQ376="7",BH376,0)</f>
        <v>0</v>
      </c>
      <c r="AE376" s="35">
        <f>IF(AQ376="7",BI376,0)</f>
        <v>267</v>
      </c>
      <c r="AF376" s="35">
        <f>IF(AQ376="2",BH376,0)</f>
        <v>0</v>
      </c>
      <c r="AG376" s="35">
        <f>IF(AQ376="2",BI376,0)</f>
        <v>0</v>
      </c>
      <c r="AH376" s="35">
        <f>IF(AQ376="0",BJ376,0)</f>
        <v>0</v>
      </c>
      <c r="AI376" s="83" t="s">
        <v>64</v>
      </c>
      <c r="AJ376" s="64">
        <f>IF(AN376=0,L376,0)</f>
        <v>0</v>
      </c>
      <c r="AK376" s="64">
        <f>IF(AN376=15,L376,0)</f>
        <v>0</v>
      </c>
      <c r="AL376" s="64">
        <f>IF(AN376=21,L376,0)</f>
        <v>267</v>
      </c>
      <c r="AN376" s="35">
        <v>21</v>
      </c>
      <c r="AO376" s="35">
        <f>I376*0</f>
        <v>0</v>
      </c>
      <c r="AP376" s="35">
        <f>I376*(1-0)</f>
        <v>89</v>
      </c>
      <c r="AQ376" s="84" t="s">
        <v>144</v>
      </c>
      <c r="AV376" s="35">
        <f>AW376+AX376</f>
        <v>267</v>
      </c>
      <c r="AW376" s="35">
        <f>H376*AO376</f>
        <v>0</v>
      </c>
      <c r="AX376" s="35">
        <f>H376*AP376</f>
        <v>267</v>
      </c>
      <c r="AY376" s="86" t="s">
        <v>1046</v>
      </c>
      <c r="AZ376" s="86" t="s">
        <v>1063</v>
      </c>
      <c r="BA376" s="83" t="s">
        <v>1078</v>
      </c>
      <c r="BC376" s="35">
        <f>AW376+AX376</f>
        <v>267</v>
      </c>
      <c r="BD376" s="35">
        <f>I376/(100-BE376)*100</f>
        <v>89</v>
      </c>
      <c r="BE376" s="35">
        <v>0</v>
      </c>
      <c r="BF376" s="35">
        <f>376</f>
        <v>376</v>
      </c>
      <c r="BH376" s="64">
        <f>H376*AO376</f>
        <v>0</v>
      </c>
      <c r="BI376" s="64">
        <f>H376*AP376</f>
        <v>267</v>
      </c>
      <c r="BJ376" s="64">
        <f>H376*I376</f>
        <v>267</v>
      </c>
      <c r="BK376" s="64" t="s">
        <v>1086</v>
      </c>
      <c r="BL376" s="35">
        <v>751</v>
      </c>
    </row>
    <row r="377" spans="1:64" x14ac:dyDescent="0.2">
      <c r="A377" s="19"/>
      <c r="C377" s="59" t="s">
        <v>521</v>
      </c>
      <c r="D377" s="180" t="s">
        <v>948</v>
      </c>
      <c r="E377" s="181"/>
      <c r="F377" s="181"/>
      <c r="G377" s="181"/>
      <c r="H377" s="181"/>
      <c r="I377" s="182"/>
      <c r="J377" s="181"/>
      <c r="K377" s="181"/>
      <c r="L377" s="181"/>
      <c r="M377" s="183"/>
      <c r="N377" s="19"/>
    </row>
    <row r="378" spans="1:64" x14ac:dyDescent="0.2">
      <c r="A378" s="47" t="s">
        <v>309</v>
      </c>
      <c r="B378" s="55" t="s">
        <v>64</v>
      </c>
      <c r="C378" s="55" t="s">
        <v>616</v>
      </c>
      <c r="D378" s="178" t="s">
        <v>970</v>
      </c>
      <c r="E378" s="179"/>
      <c r="F378" s="179"/>
      <c r="G378" s="55" t="s">
        <v>1003</v>
      </c>
      <c r="H378" s="64">
        <v>4</v>
      </c>
      <c r="I378" s="71">
        <v>310</v>
      </c>
      <c r="J378" s="64">
        <f>H378*AO378</f>
        <v>0</v>
      </c>
      <c r="K378" s="64">
        <f>H378*AP378</f>
        <v>1240</v>
      </c>
      <c r="L378" s="64">
        <f>H378*I378</f>
        <v>1240</v>
      </c>
      <c r="M378" s="79"/>
      <c r="N378" s="19"/>
      <c r="Z378" s="35">
        <f>IF(AQ378="5",BJ378,0)</f>
        <v>0</v>
      </c>
      <c r="AB378" s="35">
        <f>IF(AQ378="1",BH378,0)</f>
        <v>0</v>
      </c>
      <c r="AC378" s="35">
        <f>IF(AQ378="1",BI378,0)</f>
        <v>0</v>
      </c>
      <c r="AD378" s="35">
        <f>IF(AQ378="7",BH378,0)</f>
        <v>0</v>
      </c>
      <c r="AE378" s="35">
        <f>IF(AQ378="7",BI378,0)</f>
        <v>1240</v>
      </c>
      <c r="AF378" s="35">
        <f>IF(AQ378="2",BH378,0)</f>
        <v>0</v>
      </c>
      <c r="AG378" s="35">
        <f>IF(AQ378="2",BI378,0)</f>
        <v>0</v>
      </c>
      <c r="AH378" s="35">
        <f>IF(AQ378="0",BJ378,0)</f>
        <v>0</v>
      </c>
      <c r="AI378" s="83" t="s">
        <v>64</v>
      </c>
      <c r="AJ378" s="64">
        <f>IF(AN378=0,L378,0)</f>
        <v>0</v>
      </c>
      <c r="AK378" s="64">
        <f>IF(AN378=15,L378,0)</f>
        <v>0</v>
      </c>
      <c r="AL378" s="64">
        <f>IF(AN378=21,L378,0)</f>
        <v>1240</v>
      </c>
      <c r="AN378" s="35">
        <v>21</v>
      </c>
      <c r="AO378" s="35">
        <f>I378*0</f>
        <v>0</v>
      </c>
      <c r="AP378" s="35">
        <f>I378*(1-0)</f>
        <v>310</v>
      </c>
      <c r="AQ378" s="84" t="s">
        <v>144</v>
      </c>
      <c r="AV378" s="35">
        <f>AW378+AX378</f>
        <v>1240</v>
      </c>
      <c r="AW378" s="35">
        <f>H378*AO378</f>
        <v>0</v>
      </c>
      <c r="AX378" s="35">
        <f>H378*AP378</f>
        <v>1240</v>
      </c>
      <c r="AY378" s="86" t="s">
        <v>1046</v>
      </c>
      <c r="AZ378" s="86" t="s">
        <v>1063</v>
      </c>
      <c r="BA378" s="83" t="s">
        <v>1078</v>
      </c>
      <c r="BC378" s="35">
        <f>AW378+AX378</f>
        <v>1240</v>
      </c>
      <c r="BD378" s="35">
        <f>I378/(100-BE378)*100</f>
        <v>310</v>
      </c>
      <c r="BE378" s="35">
        <v>0</v>
      </c>
      <c r="BF378" s="35">
        <f>378</f>
        <v>378</v>
      </c>
      <c r="BH378" s="64">
        <f>H378*AO378</f>
        <v>0</v>
      </c>
      <c r="BI378" s="64">
        <f>H378*AP378</f>
        <v>1240</v>
      </c>
      <c r="BJ378" s="64">
        <f>H378*I378</f>
        <v>1240</v>
      </c>
      <c r="BK378" s="64" t="s">
        <v>1086</v>
      </c>
      <c r="BL378" s="35">
        <v>751</v>
      </c>
    </row>
    <row r="379" spans="1:64" x14ac:dyDescent="0.2">
      <c r="A379" s="19"/>
      <c r="C379" s="59" t="s">
        <v>521</v>
      </c>
      <c r="D379" s="180" t="s">
        <v>970</v>
      </c>
      <c r="E379" s="181"/>
      <c r="F379" s="181"/>
      <c r="G379" s="181"/>
      <c r="H379" s="181"/>
      <c r="I379" s="182"/>
      <c r="J379" s="181"/>
      <c r="K379" s="181"/>
      <c r="L379" s="181"/>
      <c r="M379" s="183"/>
      <c r="N379" s="19"/>
    </row>
    <row r="380" spans="1:64" x14ac:dyDescent="0.2">
      <c r="A380" s="49" t="s">
        <v>310</v>
      </c>
      <c r="B380" s="57" t="s">
        <v>64</v>
      </c>
      <c r="C380" s="57" t="s">
        <v>684</v>
      </c>
      <c r="D380" s="186" t="s">
        <v>949</v>
      </c>
      <c r="E380" s="187"/>
      <c r="F380" s="187"/>
      <c r="G380" s="57"/>
      <c r="H380" s="65">
        <v>3</v>
      </c>
      <c r="I380" s="73">
        <v>470</v>
      </c>
      <c r="J380" s="65">
        <f>H380*AO380</f>
        <v>1410</v>
      </c>
      <c r="K380" s="65">
        <f>H380*AP380</f>
        <v>0</v>
      </c>
      <c r="L380" s="65">
        <f>H380*I380</f>
        <v>1410</v>
      </c>
      <c r="M380" s="81"/>
      <c r="N380" s="19"/>
      <c r="Z380" s="35">
        <f>IF(AQ380="5",BJ380,0)</f>
        <v>0</v>
      </c>
      <c r="AB380" s="35">
        <f>IF(AQ380="1",BH380,0)</f>
        <v>0</v>
      </c>
      <c r="AC380" s="35">
        <f>IF(AQ380="1",BI380,0)</f>
        <v>0</v>
      </c>
      <c r="AD380" s="35">
        <f>IF(AQ380="7",BH380,0)</f>
        <v>1410</v>
      </c>
      <c r="AE380" s="35">
        <f>IF(AQ380="7",BI380,0)</f>
        <v>0</v>
      </c>
      <c r="AF380" s="35">
        <f>IF(AQ380="2",BH380,0)</f>
        <v>0</v>
      </c>
      <c r="AG380" s="35">
        <f>IF(AQ380="2",BI380,0)</f>
        <v>0</v>
      </c>
      <c r="AH380" s="35">
        <f>IF(AQ380="0",BJ380,0)</f>
        <v>0</v>
      </c>
      <c r="AI380" s="83" t="s">
        <v>64</v>
      </c>
      <c r="AJ380" s="65">
        <f>IF(AN380=0,L380,0)</f>
        <v>0</v>
      </c>
      <c r="AK380" s="65">
        <f>IF(AN380=15,L380,0)</f>
        <v>0</v>
      </c>
      <c r="AL380" s="65">
        <f>IF(AN380=21,L380,0)</f>
        <v>1410</v>
      </c>
      <c r="AN380" s="35">
        <v>21</v>
      </c>
      <c r="AO380" s="35">
        <f>I380*1</f>
        <v>470</v>
      </c>
      <c r="AP380" s="35">
        <f>I380*(1-1)</f>
        <v>0</v>
      </c>
      <c r="AQ380" s="85" t="s">
        <v>144</v>
      </c>
      <c r="AV380" s="35">
        <f>AW380+AX380</f>
        <v>1410</v>
      </c>
      <c r="AW380" s="35">
        <f>H380*AO380</f>
        <v>1410</v>
      </c>
      <c r="AX380" s="35">
        <f>H380*AP380</f>
        <v>0</v>
      </c>
      <c r="AY380" s="86" t="s">
        <v>1046</v>
      </c>
      <c r="AZ380" s="86" t="s">
        <v>1063</v>
      </c>
      <c r="BA380" s="83" t="s">
        <v>1078</v>
      </c>
      <c r="BC380" s="35">
        <f>AW380+AX380</f>
        <v>1410</v>
      </c>
      <c r="BD380" s="35">
        <f>I380/(100-BE380)*100</f>
        <v>470</v>
      </c>
      <c r="BE380" s="35">
        <v>0</v>
      </c>
      <c r="BF380" s="35">
        <f>380</f>
        <v>380</v>
      </c>
      <c r="BH380" s="65">
        <f>H380*AO380</f>
        <v>1410</v>
      </c>
      <c r="BI380" s="65">
        <f>H380*AP380</f>
        <v>0</v>
      </c>
      <c r="BJ380" s="65">
        <f>H380*I380</f>
        <v>1410</v>
      </c>
      <c r="BK380" s="65" t="s">
        <v>1001</v>
      </c>
      <c r="BL380" s="35">
        <v>751</v>
      </c>
    </row>
    <row r="381" spans="1:64" x14ac:dyDescent="0.2">
      <c r="A381" s="19"/>
      <c r="C381" s="59" t="s">
        <v>521</v>
      </c>
      <c r="D381" s="180" t="s">
        <v>949</v>
      </c>
      <c r="E381" s="181"/>
      <c r="F381" s="181"/>
      <c r="G381" s="181"/>
      <c r="H381" s="181"/>
      <c r="I381" s="182"/>
      <c r="J381" s="181"/>
      <c r="K381" s="181"/>
      <c r="L381" s="181"/>
      <c r="M381" s="183"/>
      <c r="N381" s="19"/>
    </row>
    <row r="382" spans="1:64" x14ac:dyDescent="0.2">
      <c r="A382" s="49" t="s">
        <v>311</v>
      </c>
      <c r="B382" s="57" t="s">
        <v>64</v>
      </c>
      <c r="C382" s="57" t="s">
        <v>685</v>
      </c>
      <c r="D382" s="186" t="s">
        <v>951</v>
      </c>
      <c r="E382" s="187"/>
      <c r="F382" s="187"/>
      <c r="G382" s="57" t="s">
        <v>1004</v>
      </c>
      <c r="H382" s="65">
        <v>2</v>
      </c>
      <c r="I382" s="73">
        <v>1574</v>
      </c>
      <c r="J382" s="65">
        <f>H382*AO382</f>
        <v>3148</v>
      </c>
      <c r="K382" s="65">
        <f>H382*AP382</f>
        <v>0</v>
      </c>
      <c r="L382" s="65">
        <f>H382*I382</f>
        <v>3148</v>
      </c>
      <c r="M382" s="81"/>
      <c r="N382" s="19"/>
      <c r="Z382" s="35">
        <f>IF(AQ382="5",BJ382,0)</f>
        <v>0</v>
      </c>
      <c r="AB382" s="35">
        <f>IF(AQ382="1",BH382,0)</f>
        <v>0</v>
      </c>
      <c r="AC382" s="35">
        <f>IF(AQ382="1",BI382,0)</f>
        <v>0</v>
      </c>
      <c r="AD382" s="35">
        <f>IF(AQ382="7",BH382,0)</f>
        <v>3148</v>
      </c>
      <c r="AE382" s="35">
        <f>IF(AQ382="7",BI382,0)</f>
        <v>0</v>
      </c>
      <c r="AF382" s="35">
        <f>IF(AQ382="2",BH382,0)</f>
        <v>0</v>
      </c>
      <c r="AG382" s="35">
        <f>IF(AQ382="2",BI382,0)</f>
        <v>0</v>
      </c>
      <c r="AH382" s="35">
        <f>IF(AQ382="0",BJ382,0)</f>
        <v>0</v>
      </c>
      <c r="AI382" s="83" t="s">
        <v>64</v>
      </c>
      <c r="AJ382" s="65">
        <f>IF(AN382=0,L382,0)</f>
        <v>0</v>
      </c>
      <c r="AK382" s="65">
        <f>IF(AN382=15,L382,0)</f>
        <v>0</v>
      </c>
      <c r="AL382" s="65">
        <f>IF(AN382=21,L382,0)</f>
        <v>3148</v>
      </c>
      <c r="AN382" s="35">
        <v>21</v>
      </c>
      <c r="AO382" s="35">
        <f>I382*1</f>
        <v>1574</v>
      </c>
      <c r="AP382" s="35">
        <f>I382*(1-1)</f>
        <v>0</v>
      </c>
      <c r="AQ382" s="85" t="s">
        <v>144</v>
      </c>
      <c r="AV382" s="35">
        <f>AW382+AX382</f>
        <v>3148</v>
      </c>
      <c r="AW382" s="35">
        <f>H382*AO382</f>
        <v>3148</v>
      </c>
      <c r="AX382" s="35">
        <f>H382*AP382</f>
        <v>0</v>
      </c>
      <c r="AY382" s="86" t="s">
        <v>1046</v>
      </c>
      <c r="AZ382" s="86" t="s">
        <v>1063</v>
      </c>
      <c r="BA382" s="83" t="s">
        <v>1078</v>
      </c>
      <c r="BC382" s="35">
        <f>AW382+AX382</f>
        <v>3148</v>
      </c>
      <c r="BD382" s="35">
        <f>I382/(100-BE382)*100</f>
        <v>1574</v>
      </c>
      <c r="BE382" s="35">
        <v>0</v>
      </c>
      <c r="BF382" s="35">
        <f>382</f>
        <v>382</v>
      </c>
      <c r="BH382" s="65">
        <f>H382*AO382</f>
        <v>3148</v>
      </c>
      <c r="BI382" s="65">
        <f>H382*AP382</f>
        <v>0</v>
      </c>
      <c r="BJ382" s="65">
        <f>H382*I382</f>
        <v>3148</v>
      </c>
      <c r="BK382" s="65" t="s">
        <v>1001</v>
      </c>
      <c r="BL382" s="35">
        <v>751</v>
      </c>
    </row>
    <row r="383" spans="1:64" x14ac:dyDescent="0.2">
      <c r="A383" s="19"/>
      <c r="C383" s="59" t="s">
        <v>521</v>
      </c>
      <c r="D383" s="180" t="s">
        <v>951</v>
      </c>
      <c r="E383" s="181"/>
      <c r="F383" s="181"/>
      <c r="G383" s="181"/>
      <c r="H383" s="181"/>
      <c r="I383" s="182"/>
      <c r="J383" s="181"/>
      <c r="K383" s="181"/>
      <c r="L383" s="181"/>
      <c r="M383" s="183"/>
      <c r="N383" s="19"/>
    </row>
    <row r="384" spans="1:64" x14ac:dyDescent="0.2">
      <c r="A384" s="49" t="s">
        <v>312</v>
      </c>
      <c r="B384" s="57" t="s">
        <v>64</v>
      </c>
      <c r="C384" s="57" t="s">
        <v>686</v>
      </c>
      <c r="D384" s="186" t="s">
        <v>952</v>
      </c>
      <c r="E384" s="187"/>
      <c r="F384" s="187"/>
      <c r="G384" s="57" t="s">
        <v>1004</v>
      </c>
      <c r="H384" s="65">
        <v>2</v>
      </c>
      <c r="I384" s="73">
        <v>1648</v>
      </c>
      <c r="J384" s="65">
        <f>H384*AO384</f>
        <v>3296</v>
      </c>
      <c r="K384" s="65">
        <f>H384*AP384</f>
        <v>0</v>
      </c>
      <c r="L384" s="65">
        <f>H384*I384</f>
        <v>3296</v>
      </c>
      <c r="M384" s="81"/>
      <c r="N384" s="19"/>
      <c r="Z384" s="35">
        <f>IF(AQ384="5",BJ384,0)</f>
        <v>0</v>
      </c>
      <c r="AB384" s="35">
        <f>IF(AQ384="1",BH384,0)</f>
        <v>0</v>
      </c>
      <c r="AC384" s="35">
        <f>IF(AQ384="1",BI384,0)</f>
        <v>0</v>
      </c>
      <c r="AD384" s="35">
        <f>IF(AQ384="7",BH384,0)</f>
        <v>3296</v>
      </c>
      <c r="AE384" s="35">
        <f>IF(AQ384="7",BI384,0)</f>
        <v>0</v>
      </c>
      <c r="AF384" s="35">
        <f>IF(AQ384="2",BH384,0)</f>
        <v>0</v>
      </c>
      <c r="AG384" s="35">
        <f>IF(AQ384="2",BI384,0)</f>
        <v>0</v>
      </c>
      <c r="AH384" s="35">
        <f>IF(AQ384="0",BJ384,0)</f>
        <v>0</v>
      </c>
      <c r="AI384" s="83" t="s">
        <v>64</v>
      </c>
      <c r="AJ384" s="65">
        <f>IF(AN384=0,L384,0)</f>
        <v>0</v>
      </c>
      <c r="AK384" s="65">
        <f>IF(AN384=15,L384,0)</f>
        <v>0</v>
      </c>
      <c r="AL384" s="65">
        <f>IF(AN384=21,L384,0)</f>
        <v>3296</v>
      </c>
      <c r="AN384" s="35">
        <v>21</v>
      </c>
      <c r="AO384" s="35">
        <f>I384*1</f>
        <v>1648</v>
      </c>
      <c r="AP384" s="35">
        <f>I384*(1-1)</f>
        <v>0</v>
      </c>
      <c r="AQ384" s="85" t="s">
        <v>144</v>
      </c>
      <c r="AV384" s="35">
        <f>AW384+AX384</f>
        <v>3296</v>
      </c>
      <c r="AW384" s="35">
        <f>H384*AO384</f>
        <v>3296</v>
      </c>
      <c r="AX384" s="35">
        <f>H384*AP384</f>
        <v>0</v>
      </c>
      <c r="AY384" s="86" t="s">
        <v>1046</v>
      </c>
      <c r="AZ384" s="86" t="s">
        <v>1063</v>
      </c>
      <c r="BA384" s="83" t="s">
        <v>1078</v>
      </c>
      <c r="BC384" s="35">
        <f>AW384+AX384</f>
        <v>3296</v>
      </c>
      <c r="BD384" s="35">
        <f>I384/(100-BE384)*100</f>
        <v>1648</v>
      </c>
      <c r="BE384" s="35">
        <v>0</v>
      </c>
      <c r="BF384" s="35">
        <f>384</f>
        <v>384</v>
      </c>
      <c r="BH384" s="65">
        <f>H384*AO384</f>
        <v>3296</v>
      </c>
      <c r="BI384" s="65">
        <f>H384*AP384</f>
        <v>0</v>
      </c>
      <c r="BJ384" s="65">
        <f>H384*I384</f>
        <v>3296</v>
      </c>
      <c r="BK384" s="65" t="s">
        <v>1001</v>
      </c>
      <c r="BL384" s="35">
        <v>751</v>
      </c>
    </row>
    <row r="385" spans="1:64" x14ac:dyDescent="0.2">
      <c r="A385" s="19"/>
      <c r="C385" s="59" t="s">
        <v>521</v>
      </c>
      <c r="D385" s="180" t="s">
        <v>952</v>
      </c>
      <c r="E385" s="181"/>
      <c r="F385" s="181"/>
      <c r="G385" s="181"/>
      <c r="H385" s="181"/>
      <c r="I385" s="182"/>
      <c r="J385" s="181"/>
      <c r="K385" s="181"/>
      <c r="L385" s="181"/>
      <c r="M385" s="183"/>
      <c r="N385" s="19"/>
    </row>
    <row r="386" spans="1:64" x14ac:dyDescent="0.2">
      <c r="A386" s="49" t="s">
        <v>313</v>
      </c>
      <c r="B386" s="57" t="s">
        <v>64</v>
      </c>
      <c r="C386" s="57" t="s">
        <v>687</v>
      </c>
      <c r="D386" s="186" t="s">
        <v>953</v>
      </c>
      <c r="E386" s="187"/>
      <c r="F386" s="187"/>
      <c r="G386" s="57" t="s">
        <v>1007</v>
      </c>
      <c r="H386" s="65">
        <v>10</v>
      </c>
      <c r="I386" s="73">
        <v>285</v>
      </c>
      <c r="J386" s="65">
        <f>H386*AO386</f>
        <v>2850</v>
      </c>
      <c r="K386" s="65">
        <f>H386*AP386</f>
        <v>0</v>
      </c>
      <c r="L386" s="65">
        <f>H386*I386</f>
        <v>2850</v>
      </c>
      <c r="M386" s="81"/>
      <c r="N386" s="19"/>
      <c r="Z386" s="35">
        <f>IF(AQ386="5",BJ386,0)</f>
        <v>0</v>
      </c>
      <c r="AB386" s="35">
        <f>IF(AQ386="1",BH386,0)</f>
        <v>0</v>
      </c>
      <c r="AC386" s="35">
        <f>IF(AQ386="1",BI386,0)</f>
        <v>0</v>
      </c>
      <c r="AD386" s="35">
        <f>IF(AQ386="7",BH386,0)</f>
        <v>2850</v>
      </c>
      <c r="AE386" s="35">
        <f>IF(AQ386="7",BI386,0)</f>
        <v>0</v>
      </c>
      <c r="AF386" s="35">
        <f>IF(AQ386="2",BH386,0)</f>
        <v>0</v>
      </c>
      <c r="AG386" s="35">
        <f>IF(AQ386="2",BI386,0)</f>
        <v>0</v>
      </c>
      <c r="AH386" s="35">
        <f>IF(AQ386="0",BJ386,0)</f>
        <v>0</v>
      </c>
      <c r="AI386" s="83" t="s">
        <v>64</v>
      </c>
      <c r="AJ386" s="65">
        <f>IF(AN386=0,L386,0)</f>
        <v>0</v>
      </c>
      <c r="AK386" s="65">
        <f>IF(AN386=15,L386,0)</f>
        <v>0</v>
      </c>
      <c r="AL386" s="65">
        <f>IF(AN386=21,L386,0)</f>
        <v>2850</v>
      </c>
      <c r="AN386" s="35">
        <v>21</v>
      </c>
      <c r="AO386" s="35">
        <f>I386*1</f>
        <v>285</v>
      </c>
      <c r="AP386" s="35">
        <f>I386*(1-1)</f>
        <v>0</v>
      </c>
      <c r="AQ386" s="85" t="s">
        <v>144</v>
      </c>
      <c r="AV386" s="35">
        <f>AW386+AX386</f>
        <v>2850</v>
      </c>
      <c r="AW386" s="35">
        <f>H386*AO386</f>
        <v>2850</v>
      </c>
      <c r="AX386" s="35">
        <f>H386*AP386</f>
        <v>0</v>
      </c>
      <c r="AY386" s="86" t="s">
        <v>1046</v>
      </c>
      <c r="AZ386" s="86" t="s">
        <v>1063</v>
      </c>
      <c r="BA386" s="83" t="s">
        <v>1078</v>
      </c>
      <c r="BC386" s="35">
        <f>AW386+AX386</f>
        <v>2850</v>
      </c>
      <c r="BD386" s="35">
        <f>I386/(100-BE386)*100</f>
        <v>285</v>
      </c>
      <c r="BE386" s="35">
        <v>0</v>
      </c>
      <c r="BF386" s="35">
        <f>386</f>
        <v>386</v>
      </c>
      <c r="BH386" s="65">
        <f>H386*AO386</f>
        <v>2850</v>
      </c>
      <c r="BI386" s="65">
        <f>H386*AP386</f>
        <v>0</v>
      </c>
      <c r="BJ386" s="65">
        <f>H386*I386</f>
        <v>2850</v>
      </c>
      <c r="BK386" s="65" t="s">
        <v>1001</v>
      </c>
      <c r="BL386" s="35">
        <v>751</v>
      </c>
    </row>
    <row r="387" spans="1:64" x14ac:dyDescent="0.2">
      <c r="A387" s="19"/>
      <c r="C387" s="59" t="s">
        <v>521</v>
      </c>
      <c r="D387" s="180" t="s">
        <v>953</v>
      </c>
      <c r="E387" s="181"/>
      <c r="F387" s="181"/>
      <c r="G387" s="181"/>
      <c r="H387" s="181"/>
      <c r="I387" s="182"/>
      <c r="J387" s="181"/>
      <c r="K387" s="181"/>
      <c r="L387" s="181"/>
      <c r="M387" s="183"/>
      <c r="N387" s="19"/>
    </row>
    <row r="388" spans="1:64" x14ac:dyDescent="0.2">
      <c r="A388" s="47" t="s">
        <v>314</v>
      </c>
      <c r="B388" s="55" t="s">
        <v>64</v>
      </c>
      <c r="C388" s="55" t="s">
        <v>620</v>
      </c>
      <c r="D388" s="178" t="s">
        <v>954</v>
      </c>
      <c r="E388" s="179"/>
      <c r="F388" s="179"/>
      <c r="G388" s="55" t="s">
        <v>1003</v>
      </c>
      <c r="H388" s="64">
        <v>14</v>
      </c>
      <c r="I388" s="71">
        <v>294</v>
      </c>
      <c r="J388" s="64">
        <f>H388*AO388</f>
        <v>0</v>
      </c>
      <c r="K388" s="64">
        <f>H388*AP388</f>
        <v>4116</v>
      </c>
      <c r="L388" s="64">
        <f>H388*I388</f>
        <v>4116</v>
      </c>
      <c r="M388" s="79"/>
      <c r="N388" s="19"/>
      <c r="Z388" s="35">
        <f>IF(AQ388="5",BJ388,0)</f>
        <v>0</v>
      </c>
      <c r="AB388" s="35">
        <f>IF(AQ388="1",BH388,0)</f>
        <v>0</v>
      </c>
      <c r="AC388" s="35">
        <f>IF(AQ388="1",BI388,0)</f>
        <v>0</v>
      </c>
      <c r="AD388" s="35">
        <f>IF(AQ388="7",BH388,0)</f>
        <v>0</v>
      </c>
      <c r="AE388" s="35">
        <f>IF(AQ388="7",BI388,0)</f>
        <v>4116</v>
      </c>
      <c r="AF388" s="35">
        <f>IF(AQ388="2",BH388,0)</f>
        <v>0</v>
      </c>
      <c r="AG388" s="35">
        <f>IF(AQ388="2",BI388,0)</f>
        <v>0</v>
      </c>
      <c r="AH388" s="35">
        <f>IF(AQ388="0",BJ388,0)</f>
        <v>0</v>
      </c>
      <c r="AI388" s="83" t="s">
        <v>64</v>
      </c>
      <c r="AJ388" s="64">
        <f>IF(AN388=0,L388,0)</f>
        <v>0</v>
      </c>
      <c r="AK388" s="64">
        <f>IF(AN388=15,L388,0)</f>
        <v>0</v>
      </c>
      <c r="AL388" s="64">
        <f>IF(AN388=21,L388,0)</f>
        <v>4116</v>
      </c>
      <c r="AN388" s="35">
        <v>21</v>
      </c>
      <c r="AO388" s="35">
        <f>I388*0</f>
        <v>0</v>
      </c>
      <c r="AP388" s="35">
        <f>I388*(1-0)</f>
        <v>294</v>
      </c>
      <c r="AQ388" s="84" t="s">
        <v>144</v>
      </c>
      <c r="AV388" s="35">
        <f>AW388+AX388</f>
        <v>4116</v>
      </c>
      <c r="AW388" s="35">
        <f>H388*AO388</f>
        <v>0</v>
      </c>
      <c r="AX388" s="35">
        <f>H388*AP388</f>
        <v>4116</v>
      </c>
      <c r="AY388" s="86" t="s">
        <v>1046</v>
      </c>
      <c r="AZ388" s="86" t="s">
        <v>1063</v>
      </c>
      <c r="BA388" s="83" t="s">
        <v>1078</v>
      </c>
      <c r="BC388" s="35">
        <f>AW388+AX388</f>
        <v>4116</v>
      </c>
      <c r="BD388" s="35">
        <f>I388/(100-BE388)*100</f>
        <v>294</v>
      </c>
      <c r="BE388" s="35">
        <v>0</v>
      </c>
      <c r="BF388" s="35">
        <f>388</f>
        <v>388</v>
      </c>
      <c r="BH388" s="64">
        <f>H388*AO388</f>
        <v>0</v>
      </c>
      <c r="BI388" s="64">
        <f>H388*AP388</f>
        <v>4116</v>
      </c>
      <c r="BJ388" s="64">
        <f>H388*I388</f>
        <v>4116</v>
      </c>
      <c r="BK388" s="64" t="s">
        <v>1086</v>
      </c>
      <c r="BL388" s="35">
        <v>751</v>
      </c>
    </row>
    <row r="389" spans="1:64" x14ac:dyDescent="0.2">
      <c r="A389" s="19"/>
      <c r="C389" s="59" t="s">
        <v>521</v>
      </c>
      <c r="D389" s="180" t="s">
        <v>954</v>
      </c>
      <c r="E389" s="181"/>
      <c r="F389" s="181"/>
      <c r="G389" s="181"/>
      <c r="H389" s="181"/>
      <c r="I389" s="182"/>
      <c r="J389" s="181"/>
      <c r="K389" s="181"/>
      <c r="L389" s="181"/>
      <c r="M389" s="183"/>
      <c r="N389" s="19"/>
    </row>
    <row r="390" spans="1:64" x14ac:dyDescent="0.2">
      <c r="A390" s="49" t="s">
        <v>315</v>
      </c>
      <c r="B390" s="57" t="s">
        <v>64</v>
      </c>
      <c r="C390" s="57" t="s">
        <v>688</v>
      </c>
      <c r="D390" s="186" t="s">
        <v>955</v>
      </c>
      <c r="E390" s="187"/>
      <c r="F390" s="187"/>
      <c r="G390" s="57" t="s">
        <v>1004</v>
      </c>
      <c r="H390" s="65">
        <v>14</v>
      </c>
      <c r="I390" s="73">
        <v>851</v>
      </c>
      <c r="J390" s="65">
        <f>H390*AO390</f>
        <v>11914</v>
      </c>
      <c r="K390" s="65">
        <f>H390*AP390</f>
        <v>0</v>
      </c>
      <c r="L390" s="65">
        <f>H390*I390</f>
        <v>11914</v>
      </c>
      <c r="M390" s="81"/>
      <c r="N390" s="19"/>
      <c r="Z390" s="35">
        <f>IF(AQ390="5",BJ390,0)</f>
        <v>0</v>
      </c>
      <c r="AB390" s="35">
        <f>IF(AQ390="1",BH390,0)</f>
        <v>0</v>
      </c>
      <c r="AC390" s="35">
        <f>IF(AQ390="1",BI390,0)</f>
        <v>0</v>
      </c>
      <c r="AD390" s="35">
        <f>IF(AQ390="7",BH390,0)</f>
        <v>11914</v>
      </c>
      <c r="AE390" s="35">
        <f>IF(AQ390="7",BI390,0)</f>
        <v>0</v>
      </c>
      <c r="AF390" s="35">
        <f>IF(AQ390="2",BH390,0)</f>
        <v>0</v>
      </c>
      <c r="AG390" s="35">
        <f>IF(AQ390="2",BI390,0)</f>
        <v>0</v>
      </c>
      <c r="AH390" s="35">
        <f>IF(AQ390="0",BJ390,0)</f>
        <v>0</v>
      </c>
      <c r="AI390" s="83" t="s">
        <v>64</v>
      </c>
      <c r="AJ390" s="65">
        <f>IF(AN390=0,L390,0)</f>
        <v>0</v>
      </c>
      <c r="AK390" s="65">
        <f>IF(AN390=15,L390,0)</f>
        <v>0</v>
      </c>
      <c r="AL390" s="65">
        <f>IF(AN390=21,L390,0)</f>
        <v>11914</v>
      </c>
      <c r="AN390" s="35">
        <v>21</v>
      </c>
      <c r="AO390" s="35">
        <f>I390*1</f>
        <v>851</v>
      </c>
      <c r="AP390" s="35">
        <f>I390*(1-1)</f>
        <v>0</v>
      </c>
      <c r="AQ390" s="85" t="s">
        <v>144</v>
      </c>
      <c r="AV390" s="35">
        <f>AW390+AX390</f>
        <v>11914</v>
      </c>
      <c r="AW390" s="35">
        <f>H390*AO390</f>
        <v>11914</v>
      </c>
      <c r="AX390" s="35">
        <f>H390*AP390</f>
        <v>0</v>
      </c>
      <c r="AY390" s="86" t="s">
        <v>1046</v>
      </c>
      <c r="AZ390" s="86" t="s">
        <v>1063</v>
      </c>
      <c r="BA390" s="83" t="s">
        <v>1078</v>
      </c>
      <c r="BC390" s="35">
        <f>AW390+AX390</f>
        <v>11914</v>
      </c>
      <c r="BD390" s="35">
        <f>I390/(100-BE390)*100</f>
        <v>851</v>
      </c>
      <c r="BE390" s="35">
        <v>0</v>
      </c>
      <c r="BF390" s="35">
        <f>390</f>
        <v>390</v>
      </c>
      <c r="BH390" s="65">
        <f>H390*AO390</f>
        <v>11914</v>
      </c>
      <c r="BI390" s="65">
        <f>H390*AP390</f>
        <v>0</v>
      </c>
      <c r="BJ390" s="65">
        <f>H390*I390</f>
        <v>11914</v>
      </c>
      <c r="BK390" s="65" t="s">
        <v>1001</v>
      </c>
      <c r="BL390" s="35">
        <v>751</v>
      </c>
    </row>
    <row r="391" spans="1:64" x14ac:dyDescent="0.2">
      <c r="A391" s="19"/>
      <c r="C391" s="59" t="s">
        <v>521</v>
      </c>
      <c r="D391" s="180" t="s">
        <v>955</v>
      </c>
      <c r="E391" s="181"/>
      <c r="F391" s="181"/>
      <c r="G391" s="181"/>
      <c r="H391" s="181"/>
      <c r="I391" s="182"/>
      <c r="J391" s="181"/>
      <c r="K391" s="181"/>
      <c r="L391" s="181"/>
      <c r="M391" s="183"/>
      <c r="N391" s="19"/>
    </row>
    <row r="392" spans="1:64" x14ac:dyDescent="0.2">
      <c r="A392" s="47" t="s">
        <v>316</v>
      </c>
      <c r="B392" s="55" t="s">
        <v>64</v>
      </c>
      <c r="C392" s="55" t="s">
        <v>622</v>
      </c>
      <c r="D392" s="178" t="s">
        <v>956</v>
      </c>
      <c r="E392" s="179"/>
      <c r="F392" s="179"/>
      <c r="G392" s="55" t="s">
        <v>1003</v>
      </c>
      <c r="H392" s="64">
        <v>14</v>
      </c>
      <c r="I392" s="71">
        <v>135</v>
      </c>
      <c r="J392" s="64">
        <f>H392*AO392</f>
        <v>0</v>
      </c>
      <c r="K392" s="64">
        <f>H392*AP392</f>
        <v>1890</v>
      </c>
      <c r="L392" s="64">
        <f>H392*I392</f>
        <v>1890</v>
      </c>
      <c r="M392" s="79" t="s">
        <v>1020</v>
      </c>
      <c r="N392" s="19"/>
      <c r="Z392" s="35">
        <f>IF(AQ392="5",BJ392,0)</f>
        <v>0</v>
      </c>
      <c r="AB392" s="35">
        <f>IF(AQ392="1",BH392,0)</f>
        <v>0</v>
      </c>
      <c r="AC392" s="35">
        <f>IF(AQ392="1",BI392,0)</f>
        <v>0</v>
      </c>
      <c r="AD392" s="35">
        <f>IF(AQ392="7",BH392,0)</f>
        <v>0</v>
      </c>
      <c r="AE392" s="35">
        <f>IF(AQ392="7",BI392,0)</f>
        <v>1890</v>
      </c>
      <c r="AF392" s="35">
        <f>IF(AQ392="2",BH392,0)</f>
        <v>0</v>
      </c>
      <c r="AG392" s="35">
        <f>IF(AQ392="2",BI392,0)</f>
        <v>0</v>
      </c>
      <c r="AH392" s="35">
        <f>IF(AQ392="0",BJ392,0)</f>
        <v>0</v>
      </c>
      <c r="AI392" s="83" t="s">
        <v>64</v>
      </c>
      <c r="AJ392" s="64">
        <f>IF(AN392=0,L392,0)</f>
        <v>0</v>
      </c>
      <c r="AK392" s="64">
        <f>IF(AN392=15,L392,0)</f>
        <v>0</v>
      </c>
      <c r="AL392" s="64">
        <f>IF(AN392=21,L392,0)</f>
        <v>1890</v>
      </c>
      <c r="AN392" s="35">
        <v>21</v>
      </c>
      <c r="AO392" s="35">
        <f>I392*0</f>
        <v>0</v>
      </c>
      <c r="AP392" s="35">
        <f>I392*(1-0)</f>
        <v>135</v>
      </c>
      <c r="AQ392" s="84" t="s">
        <v>144</v>
      </c>
      <c r="AV392" s="35">
        <f>AW392+AX392</f>
        <v>1890</v>
      </c>
      <c r="AW392" s="35">
        <f>H392*AO392</f>
        <v>0</v>
      </c>
      <c r="AX392" s="35">
        <f>H392*AP392</f>
        <v>1890</v>
      </c>
      <c r="AY392" s="86" t="s">
        <v>1046</v>
      </c>
      <c r="AZ392" s="86" t="s">
        <v>1063</v>
      </c>
      <c r="BA392" s="83" t="s">
        <v>1078</v>
      </c>
      <c r="BC392" s="35">
        <f>AW392+AX392</f>
        <v>1890</v>
      </c>
      <c r="BD392" s="35">
        <f>I392/(100-BE392)*100</f>
        <v>135</v>
      </c>
      <c r="BE392" s="35">
        <v>0</v>
      </c>
      <c r="BF392" s="35">
        <f>392</f>
        <v>392</v>
      </c>
      <c r="BH392" s="64">
        <f>H392*AO392</f>
        <v>0</v>
      </c>
      <c r="BI392" s="64">
        <f>H392*AP392</f>
        <v>1890</v>
      </c>
      <c r="BJ392" s="64">
        <f>H392*I392</f>
        <v>1890</v>
      </c>
      <c r="BK392" s="64" t="s">
        <v>1086</v>
      </c>
      <c r="BL392" s="35">
        <v>751</v>
      </c>
    </row>
    <row r="393" spans="1:64" x14ac:dyDescent="0.2">
      <c r="A393" s="19"/>
      <c r="C393" s="59" t="s">
        <v>521</v>
      </c>
      <c r="D393" s="180" t="s">
        <v>956</v>
      </c>
      <c r="E393" s="181"/>
      <c r="F393" s="181"/>
      <c r="G393" s="181"/>
      <c r="H393" s="181"/>
      <c r="I393" s="182"/>
      <c r="J393" s="181"/>
      <c r="K393" s="181"/>
      <c r="L393" s="181"/>
      <c r="M393" s="183"/>
      <c r="N393" s="19"/>
    </row>
    <row r="394" spans="1:64" x14ac:dyDescent="0.2">
      <c r="A394" s="49" t="s">
        <v>317</v>
      </c>
      <c r="B394" s="57" t="s">
        <v>64</v>
      </c>
      <c r="C394" s="57" t="s">
        <v>689</v>
      </c>
      <c r="D394" s="186" t="s">
        <v>957</v>
      </c>
      <c r="E394" s="187"/>
      <c r="F394" s="187"/>
      <c r="G394" s="57" t="s">
        <v>1004</v>
      </c>
      <c r="H394" s="65">
        <v>14</v>
      </c>
      <c r="I394" s="73">
        <v>287</v>
      </c>
      <c r="J394" s="65">
        <f>H394*AO394</f>
        <v>4018</v>
      </c>
      <c r="K394" s="65">
        <f>H394*AP394</f>
        <v>0</v>
      </c>
      <c r="L394" s="65">
        <f>H394*I394</f>
        <v>4018</v>
      </c>
      <c r="M394" s="81"/>
      <c r="N394" s="19"/>
      <c r="Z394" s="35">
        <f>IF(AQ394="5",BJ394,0)</f>
        <v>0</v>
      </c>
      <c r="AB394" s="35">
        <f>IF(AQ394="1",BH394,0)</f>
        <v>0</v>
      </c>
      <c r="AC394" s="35">
        <f>IF(AQ394="1",BI394,0)</f>
        <v>0</v>
      </c>
      <c r="AD394" s="35">
        <f>IF(AQ394="7",BH394,0)</f>
        <v>4018</v>
      </c>
      <c r="AE394" s="35">
        <f>IF(AQ394="7",BI394,0)</f>
        <v>0</v>
      </c>
      <c r="AF394" s="35">
        <f>IF(AQ394="2",BH394,0)</f>
        <v>0</v>
      </c>
      <c r="AG394" s="35">
        <f>IF(AQ394="2",BI394,0)</f>
        <v>0</v>
      </c>
      <c r="AH394" s="35">
        <f>IF(AQ394="0",BJ394,0)</f>
        <v>0</v>
      </c>
      <c r="AI394" s="83" t="s">
        <v>64</v>
      </c>
      <c r="AJ394" s="65">
        <f>IF(AN394=0,L394,0)</f>
        <v>0</v>
      </c>
      <c r="AK394" s="65">
        <f>IF(AN394=15,L394,0)</f>
        <v>0</v>
      </c>
      <c r="AL394" s="65">
        <f>IF(AN394=21,L394,0)</f>
        <v>4018</v>
      </c>
      <c r="AN394" s="35">
        <v>21</v>
      </c>
      <c r="AO394" s="35">
        <f>I394*1</f>
        <v>287</v>
      </c>
      <c r="AP394" s="35">
        <f>I394*(1-1)</f>
        <v>0</v>
      </c>
      <c r="AQ394" s="85" t="s">
        <v>144</v>
      </c>
      <c r="AV394" s="35">
        <f>AW394+AX394</f>
        <v>4018</v>
      </c>
      <c r="AW394" s="35">
        <f>H394*AO394</f>
        <v>4018</v>
      </c>
      <c r="AX394" s="35">
        <f>H394*AP394</f>
        <v>0</v>
      </c>
      <c r="AY394" s="86" t="s">
        <v>1046</v>
      </c>
      <c r="AZ394" s="86" t="s">
        <v>1063</v>
      </c>
      <c r="BA394" s="83" t="s">
        <v>1078</v>
      </c>
      <c r="BC394" s="35">
        <f>AW394+AX394</f>
        <v>4018</v>
      </c>
      <c r="BD394" s="35">
        <f>I394/(100-BE394)*100</f>
        <v>287</v>
      </c>
      <c r="BE394" s="35">
        <v>0</v>
      </c>
      <c r="BF394" s="35">
        <f>394</f>
        <v>394</v>
      </c>
      <c r="BH394" s="65">
        <f>H394*AO394</f>
        <v>4018</v>
      </c>
      <c r="BI394" s="65">
        <f>H394*AP394</f>
        <v>0</v>
      </c>
      <c r="BJ394" s="65">
        <f>H394*I394</f>
        <v>4018</v>
      </c>
      <c r="BK394" s="65" t="s">
        <v>1001</v>
      </c>
      <c r="BL394" s="35">
        <v>751</v>
      </c>
    </row>
    <row r="395" spans="1:64" x14ac:dyDescent="0.2">
      <c r="A395" s="19"/>
      <c r="C395" s="59" t="s">
        <v>521</v>
      </c>
      <c r="D395" s="180" t="s">
        <v>957</v>
      </c>
      <c r="E395" s="181"/>
      <c r="F395" s="181"/>
      <c r="G395" s="181"/>
      <c r="H395" s="181"/>
      <c r="I395" s="182"/>
      <c r="J395" s="181"/>
      <c r="K395" s="181"/>
      <c r="L395" s="181"/>
      <c r="M395" s="183"/>
      <c r="N395" s="19"/>
    </row>
    <row r="396" spans="1:64" x14ac:dyDescent="0.2">
      <c r="A396" s="47" t="s">
        <v>318</v>
      </c>
      <c r="B396" s="55" t="s">
        <v>64</v>
      </c>
      <c r="C396" s="55" t="s">
        <v>624</v>
      </c>
      <c r="D396" s="178" t="s">
        <v>958</v>
      </c>
      <c r="E396" s="179"/>
      <c r="F396" s="179"/>
      <c r="G396" s="55" t="s">
        <v>1000</v>
      </c>
      <c r="H396" s="64">
        <v>3584.0039999999999</v>
      </c>
      <c r="I396" s="71">
        <v>0.5</v>
      </c>
      <c r="J396" s="64">
        <f>H396*AO396</f>
        <v>0</v>
      </c>
      <c r="K396" s="64">
        <f>H396*AP396</f>
        <v>1792.002</v>
      </c>
      <c r="L396" s="64">
        <f>H396*I396</f>
        <v>1792.002</v>
      </c>
      <c r="M396" s="79" t="s">
        <v>1021</v>
      </c>
      <c r="N396" s="19"/>
      <c r="Z396" s="35">
        <f>IF(AQ396="5",BJ396,0)</f>
        <v>0</v>
      </c>
      <c r="AB396" s="35">
        <f>IF(AQ396="1",BH396,0)</f>
        <v>0</v>
      </c>
      <c r="AC396" s="35">
        <f>IF(AQ396="1",BI396,0)</f>
        <v>0</v>
      </c>
      <c r="AD396" s="35">
        <f>IF(AQ396="7",BH396,0)</f>
        <v>0</v>
      </c>
      <c r="AE396" s="35">
        <f>IF(AQ396="7",BI396,0)</f>
        <v>1792.002</v>
      </c>
      <c r="AF396" s="35">
        <f>IF(AQ396="2",BH396,0)</f>
        <v>0</v>
      </c>
      <c r="AG396" s="35">
        <f>IF(AQ396="2",BI396,0)</f>
        <v>0</v>
      </c>
      <c r="AH396" s="35">
        <f>IF(AQ396="0",BJ396,0)</f>
        <v>0</v>
      </c>
      <c r="AI396" s="83" t="s">
        <v>64</v>
      </c>
      <c r="AJ396" s="64">
        <f>IF(AN396=0,L396,0)</f>
        <v>0</v>
      </c>
      <c r="AK396" s="64">
        <f>IF(AN396=15,L396,0)</f>
        <v>0</v>
      </c>
      <c r="AL396" s="64">
        <f>IF(AN396=21,L396,0)</f>
        <v>1792.002</v>
      </c>
      <c r="AN396" s="35">
        <v>21</v>
      </c>
      <c r="AO396" s="35">
        <f>I396*0</f>
        <v>0</v>
      </c>
      <c r="AP396" s="35">
        <f>I396*(1-0)</f>
        <v>0.5</v>
      </c>
      <c r="AQ396" s="84" t="s">
        <v>144</v>
      </c>
      <c r="AV396" s="35">
        <f>AW396+AX396</f>
        <v>1792.002</v>
      </c>
      <c r="AW396" s="35">
        <f>H396*AO396</f>
        <v>0</v>
      </c>
      <c r="AX396" s="35">
        <f>H396*AP396</f>
        <v>1792.002</v>
      </c>
      <c r="AY396" s="86" t="s">
        <v>1046</v>
      </c>
      <c r="AZ396" s="86" t="s">
        <v>1063</v>
      </c>
      <c r="BA396" s="83" t="s">
        <v>1078</v>
      </c>
      <c r="BC396" s="35">
        <f>AW396+AX396</f>
        <v>1792.002</v>
      </c>
      <c r="BD396" s="35">
        <f>I396/(100-BE396)*100</f>
        <v>0.5</v>
      </c>
      <c r="BE396" s="35">
        <v>0</v>
      </c>
      <c r="BF396" s="35">
        <f>396</f>
        <v>396</v>
      </c>
      <c r="BH396" s="64">
        <f>H396*AO396</f>
        <v>0</v>
      </c>
      <c r="BI396" s="64">
        <f>H396*AP396</f>
        <v>1792.002</v>
      </c>
      <c r="BJ396" s="64">
        <f>H396*I396</f>
        <v>1792.002</v>
      </c>
      <c r="BK396" s="64" t="s">
        <v>1086</v>
      </c>
      <c r="BL396" s="35">
        <v>751</v>
      </c>
    </row>
    <row r="397" spans="1:64" x14ac:dyDescent="0.2">
      <c r="A397" s="19"/>
      <c r="C397" s="59" t="s">
        <v>521</v>
      </c>
      <c r="D397" s="180" t="s">
        <v>959</v>
      </c>
      <c r="E397" s="181"/>
      <c r="F397" s="181"/>
      <c r="G397" s="181"/>
      <c r="H397" s="181"/>
      <c r="I397" s="182"/>
      <c r="J397" s="181"/>
      <c r="K397" s="181"/>
      <c r="L397" s="181"/>
      <c r="M397" s="183"/>
      <c r="N397" s="19"/>
    </row>
    <row r="398" spans="1:64" x14ac:dyDescent="0.2">
      <c r="A398" s="46"/>
      <c r="B398" s="54" t="s">
        <v>64</v>
      </c>
      <c r="C398" s="54" t="s">
        <v>118</v>
      </c>
      <c r="D398" s="176" t="s">
        <v>43</v>
      </c>
      <c r="E398" s="177"/>
      <c r="F398" s="177"/>
      <c r="G398" s="61" t="s">
        <v>60</v>
      </c>
      <c r="H398" s="61" t="s">
        <v>60</v>
      </c>
      <c r="I398" s="70" t="s">
        <v>60</v>
      </c>
      <c r="J398" s="89">
        <f>SUM(J399:J411)</f>
        <v>0</v>
      </c>
      <c r="K398" s="89">
        <f>SUM(K399:K411)</f>
        <v>26250</v>
      </c>
      <c r="L398" s="89">
        <f>SUM(L399:L411)</f>
        <v>26250</v>
      </c>
      <c r="M398" s="78"/>
      <c r="N398" s="19"/>
      <c r="AI398" s="83" t="s">
        <v>64</v>
      </c>
      <c r="AS398" s="89">
        <f>SUM(AJ399:AJ411)</f>
        <v>0</v>
      </c>
      <c r="AT398" s="89">
        <f>SUM(AK399:AK411)</f>
        <v>0</v>
      </c>
      <c r="AU398" s="89">
        <f>SUM(AL399:AL411)</f>
        <v>26250</v>
      </c>
    </row>
    <row r="399" spans="1:64" x14ac:dyDescent="0.2">
      <c r="A399" s="47" t="s">
        <v>319</v>
      </c>
      <c r="B399" s="55" t="s">
        <v>64</v>
      </c>
      <c r="C399" s="55" t="s">
        <v>690</v>
      </c>
      <c r="D399" s="178" t="s">
        <v>960</v>
      </c>
      <c r="E399" s="179"/>
      <c r="F399" s="179"/>
      <c r="G399" s="55" t="s">
        <v>1002</v>
      </c>
      <c r="H399" s="64">
        <v>1</v>
      </c>
      <c r="I399" s="71">
        <v>2000</v>
      </c>
      <c r="J399" s="64">
        <f>H399*AO399</f>
        <v>0</v>
      </c>
      <c r="K399" s="64">
        <f>H399*AP399</f>
        <v>2000</v>
      </c>
      <c r="L399" s="64">
        <f>H399*I399</f>
        <v>2000</v>
      </c>
      <c r="M399" s="79"/>
      <c r="N399" s="19"/>
      <c r="Z399" s="35">
        <f>IF(AQ399="5",BJ399,0)</f>
        <v>0</v>
      </c>
      <c r="AB399" s="35">
        <f>IF(AQ399="1",BH399,0)</f>
        <v>0</v>
      </c>
      <c r="AC399" s="35">
        <f>IF(AQ399="1",BI399,0)</f>
        <v>2000</v>
      </c>
      <c r="AD399" s="35">
        <f>IF(AQ399="7",BH399,0)</f>
        <v>0</v>
      </c>
      <c r="AE399" s="35">
        <f>IF(AQ399="7",BI399,0)</f>
        <v>0</v>
      </c>
      <c r="AF399" s="35">
        <f>IF(AQ399="2",BH399,0)</f>
        <v>0</v>
      </c>
      <c r="AG399" s="35">
        <f>IF(AQ399="2",BI399,0)</f>
        <v>0</v>
      </c>
      <c r="AH399" s="35">
        <f>IF(AQ399="0",BJ399,0)</f>
        <v>0</v>
      </c>
      <c r="AI399" s="83" t="s">
        <v>64</v>
      </c>
      <c r="AJ399" s="64">
        <f>IF(AN399=0,L399,0)</f>
        <v>0</v>
      </c>
      <c r="AK399" s="64">
        <f>IF(AN399=15,L399,0)</f>
        <v>0</v>
      </c>
      <c r="AL399" s="64">
        <f>IF(AN399=21,L399,0)</f>
        <v>2000</v>
      </c>
      <c r="AN399" s="35">
        <v>21</v>
      </c>
      <c r="AO399" s="35">
        <f>I399*0</f>
        <v>0</v>
      </c>
      <c r="AP399" s="35">
        <f>I399*(1-0)</f>
        <v>2000</v>
      </c>
      <c r="AQ399" s="84" t="s">
        <v>141</v>
      </c>
      <c r="AV399" s="35">
        <f>AW399+AX399</f>
        <v>2000</v>
      </c>
      <c r="AW399" s="35">
        <f>H399*AO399</f>
        <v>0</v>
      </c>
      <c r="AX399" s="35">
        <f>H399*AP399</f>
        <v>2000</v>
      </c>
      <c r="AY399" s="86" t="s">
        <v>1047</v>
      </c>
      <c r="AZ399" s="86" t="s">
        <v>1064</v>
      </c>
      <c r="BA399" s="83" t="s">
        <v>1078</v>
      </c>
      <c r="BC399" s="35">
        <f>AW399+AX399</f>
        <v>2000</v>
      </c>
      <c r="BD399" s="35">
        <f>I399/(100-BE399)*100</f>
        <v>2000</v>
      </c>
      <c r="BE399" s="35">
        <v>0</v>
      </c>
      <c r="BF399" s="35">
        <f>399</f>
        <v>399</v>
      </c>
      <c r="BH399" s="64">
        <f>H399*AO399</f>
        <v>0</v>
      </c>
      <c r="BI399" s="64">
        <f>H399*AP399</f>
        <v>2000</v>
      </c>
      <c r="BJ399" s="64">
        <f>H399*I399</f>
        <v>2000</v>
      </c>
      <c r="BK399" s="64" t="s">
        <v>1086</v>
      </c>
      <c r="BL399" s="35" t="s">
        <v>118</v>
      </c>
    </row>
    <row r="400" spans="1:64" x14ac:dyDescent="0.2">
      <c r="A400" s="19"/>
      <c r="C400" s="59" t="s">
        <v>521</v>
      </c>
      <c r="D400" s="180" t="s">
        <v>961</v>
      </c>
      <c r="E400" s="181"/>
      <c r="F400" s="181"/>
      <c r="G400" s="181"/>
      <c r="H400" s="181"/>
      <c r="I400" s="182"/>
      <c r="J400" s="181"/>
      <c r="K400" s="181"/>
      <c r="L400" s="181"/>
      <c r="M400" s="183"/>
      <c r="N400" s="19"/>
    </row>
    <row r="401" spans="1:64" x14ac:dyDescent="0.2">
      <c r="A401" s="47" t="s">
        <v>320</v>
      </c>
      <c r="B401" s="55" t="s">
        <v>64</v>
      </c>
      <c r="C401" s="55" t="s">
        <v>691</v>
      </c>
      <c r="D401" s="178" t="s">
        <v>962</v>
      </c>
      <c r="E401" s="179"/>
      <c r="F401" s="179"/>
      <c r="G401" s="55" t="s">
        <v>1006</v>
      </c>
      <c r="H401" s="64">
        <v>1</v>
      </c>
      <c r="I401" s="71">
        <v>2800</v>
      </c>
      <c r="J401" s="64">
        <f>H401*AO401</f>
        <v>0</v>
      </c>
      <c r="K401" s="64">
        <f>H401*AP401</f>
        <v>2800</v>
      </c>
      <c r="L401" s="64">
        <f>H401*I401</f>
        <v>2800</v>
      </c>
      <c r="M401" s="79"/>
      <c r="N401" s="19"/>
      <c r="Z401" s="35">
        <f>IF(AQ401="5",BJ401,0)</f>
        <v>0</v>
      </c>
      <c r="AB401" s="35">
        <f>IF(AQ401="1",BH401,0)</f>
        <v>0</v>
      </c>
      <c r="AC401" s="35">
        <f>IF(AQ401="1",BI401,0)</f>
        <v>2800</v>
      </c>
      <c r="AD401" s="35">
        <f>IF(AQ401="7",BH401,0)</f>
        <v>0</v>
      </c>
      <c r="AE401" s="35">
        <f>IF(AQ401="7",BI401,0)</f>
        <v>0</v>
      </c>
      <c r="AF401" s="35">
        <f>IF(AQ401="2",BH401,0)</f>
        <v>0</v>
      </c>
      <c r="AG401" s="35">
        <f>IF(AQ401="2",BI401,0)</f>
        <v>0</v>
      </c>
      <c r="AH401" s="35">
        <f>IF(AQ401="0",BJ401,0)</f>
        <v>0</v>
      </c>
      <c r="AI401" s="83" t="s">
        <v>64</v>
      </c>
      <c r="AJ401" s="64">
        <f>IF(AN401=0,L401,0)</f>
        <v>0</v>
      </c>
      <c r="AK401" s="64">
        <f>IF(AN401=15,L401,0)</f>
        <v>0</v>
      </c>
      <c r="AL401" s="64">
        <f>IF(AN401=21,L401,0)</f>
        <v>2800</v>
      </c>
      <c r="AN401" s="35">
        <v>21</v>
      </c>
      <c r="AO401" s="35">
        <f>I401*0</f>
        <v>0</v>
      </c>
      <c r="AP401" s="35">
        <f>I401*(1-0)</f>
        <v>2800</v>
      </c>
      <c r="AQ401" s="84" t="s">
        <v>141</v>
      </c>
      <c r="AV401" s="35">
        <f>AW401+AX401</f>
        <v>2800</v>
      </c>
      <c r="AW401" s="35">
        <f>H401*AO401</f>
        <v>0</v>
      </c>
      <c r="AX401" s="35">
        <f>H401*AP401</f>
        <v>2800</v>
      </c>
      <c r="AY401" s="86" t="s">
        <v>1047</v>
      </c>
      <c r="AZ401" s="86" t="s">
        <v>1064</v>
      </c>
      <c r="BA401" s="83" t="s">
        <v>1078</v>
      </c>
      <c r="BC401" s="35">
        <f>AW401+AX401</f>
        <v>2800</v>
      </c>
      <c r="BD401" s="35">
        <f>I401/(100-BE401)*100</f>
        <v>2800</v>
      </c>
      <c r="BE401" s="35">
        <v>0</v>
      </c>
      <c r="BF401" s="35">
        <f>401</f>
        <v>401</v>
      </c>
      <c r="BH401" s="64">
        <f>H401*AO401</f>
        <v>0</v>
      </c>
      <c r="BI401" s="64">
        <f>H401*AP401</f>
        <v>2800</v>
      </c>
      <c r="BJ401" s="64">
        <f>H401*I401</f>
        <v>2800</v>
      </c>
      <c r="BK401" s="64" t="s">
        <v>1086</v>
      </c>
      <c r="BL401" s="35" t="s">
        <v>118</v>
      </c>
    </row>
    <row r="402" spans="1:64" x14ac:dyDescent="0.2">
      <c r="A402" s="19"/>
      <c r="C402" s="59" t="s">
        <v>521</v>
      </c>
      <c r="D402" s="180" t="s">
        <v>962</v>
      </c>
      <c r="E402" s="181"/>
      <c r="F402" s="181"/>
      <c r="G402" s="181"/>
      <c r="H402" s="181"/>
      <c r="I402" s="182"/>
      <c r="J402" s="181"/>
      <c r="K402" s="181"/>
      <c r="L402" s="181"/>
      <c r="M402" s="183"/>
      <c r="N402" s="19"/>
    </row>
    <row r="403" spans="1:64" x14ac:dyDescent="0.2">
      <c r="A403" s="47" t="s">
        <v>321</v>
      </c>
      <c r="B403" s="55" t="s">
        <v>64</v>
      </c>
      <c r="C403" s="55" t="s">
        <v>692</v>
      </c>
      <c r="D403" s="178" t="s">
        <v>962</v>
      </c>
      <c r="E403" s="179"/>
      <c r="F403" s="179"/>
      <c r="G403" s="55" t="s">
        <v>1006</v>
      </c>
      <c r="H403" s="64">
        <v>1</v>
      </c>
      <c r="I403" s="71">
        <v>2800</v>
      </c>
      <c r="J403" s="64">
        <f>H403*AO403</f>
        <v>0</v>
      </c>
      <c r="K403" s="64">
        <f>H403*AP403</f>
        <v>2800</v>
      </c>
      <c r="L403" s="64">
        <f>H403*I403</f>
        <v>2800</v>
      </c>
      <c r="M403" s="79"/>
      <c r="N403" s="19"/>
      <c r="Z403" s="35">
        <f>IF(AQ403="5",BJ403,0)</f>
        <v>0</v>
      </c>
      <c r="AB403" s="35">
        <f>IF(AQ403="1",BH403,0)</f>
        <v>0</v>
      </c>
      <c r="AC403" s="35">
        <f>IF(AQ403="1",BI403,0)</f>
        <v>2800</v>
      </c>
      <c r="AD403" s="35">
        <f>IF(AQ403="7",BH403,0)</f>
        <v>0</v>
      </c>
      <c r="AE403" s="35">
        <f>IF(AQ403="7",BI403,0)</f>
        <v>0</v>
      </c>
      <c r="AF403" s="35">
        <f>IF(AQ403="2",BH403,0)</f>
        <v>0</v>
      </c>
      <c r="AG403" s="35">
        <f>IF(AQ403="2",BI403,0)</f>
        <v>0</v>
      </c>
      <c r="AH403" s="35">
        <f>IF(AQ403="0",BJ403,0)</f>
        <v>0</v>
      </c>
      <c r="AI403" s="83" t="s">
        <v>64</v>
      </c>
      <c r="AJ403" s="64">
        <f>IF(AN403=0,L403,0)</f>
        <v>0</v>
      </c>
      <c r="AK403" s="64">
        <f>IF(AN403=15,L403,0)</f>
        <v>0</v>
      </c>
      <c r="AL403" s="64">
        <f>IF(AN403=21,L403,0)</f>
        <v>2800</v>
      </c>
      <c r="AN403" s="35">
        <v>21</v>
      </c>
      <c r="AO403" s="35">
        <f>I403*0</f>
        <v>0</v>
      </c>
      <c r="AP403" s="35">
        <f>I403*(1-0)</f>
        <v>2800</v>
      </c>
      <c r="AQ403" s="84" t="s">
        <v>141</v>
      </c>
      <c r="AV403" s="35">
        <f>AW403+AX403</f>
        <v>2800</v>
      </c>
      <c r="AW403" s="35">
        <f>H403*AO403</f>
        <v>0</v>
      </c>
      <c r="AX403" s="35">
        <f>H403*AP403</f>
        <v>2800</v>
      </c>
      <c r="AY403" s="86" t="s">
        <v>1047</v>
      </c>
      <c r="AZ403" s="86" t="s">
        <v>1064</v>
      </c>
      <c r="BA403" s="83" t="s">
        <v>1078</v>
      </c>
      <c r="BC403" s="35">
        <f>AW403+AX403</f>
        <v>2800</v>
      </c>
      <c r="BD403" s="35">
        <f>I403/(100-BE403)*100</f>
        <v>2800</v>
      </c>
      <c r="BE403" s="35">
        <v>0</v>
      </c>
      <c r="BF403" s="35">
        <f>403</f>
        <v>403</v>
      </c>
      <c r="BH403" s="64">
        <f>H403*AO403</f>
        <v>0</v>
      </c>
      <c r="BI403" s="64">
        <f>H403*AP403</f>
        <v>2800</v>
      </c>
      <c r="BJ403" s="64">
        <f>H403*I403</f>
        <v>2800</v>
      </c>
      <c r="BK403" s="64" t="s">
        <v>1086</v>
      </c>
      <c r="BL403" s="35" t="s">
        <v>118</v>
      </c>
    </row>
    <row r="404" spans="1:64" x14ac:dyDescent="0.2">
      <c r="A404" s="19"/>
      <c r="C404" s="59" t="s">
        <v>521</v>
      </c>
      <c r="D404" s="180" t="s">
        <v>962</v>
      </c>
      <c r="E404" s="181"/>
      <c r="F404" s="181"/>
      <c r="G404" s="181"/>
      <c r="H404" s="181"/>
      <c r="I404" s="182"/>
      <c r="J404" s="181"/>
      <c r="K404" s="181"/>
      <c r="L404" s="181"/>
      <c r="M404" s="183"/>
      <c r="N404" s="19"/>
    </row>
    <row r="405" spans="1:64" x14ac:dyDescent="0.2">
      <c r="A405" s="47" t="s">
        <v>322</v>
      </c>
      <c r="B405" s="55" t="s">
        <v>64</v>
      </c>
      <c r="C405" s="55" t="s">
        <v>693</v>
      </c>
      <c r="D405" s="178" t="s">
        <v>963</v>
      </c>
      <c r="E405" s="179"/>
      <c r="F405" s="179"/>
      <c r="G405" s="55" t="s">
        <v>1006</v>
      </c>
      <c r="H405" s="64">
        <v>1</v>
      </c>
      <c r="I405" s="71">
        <v>2800</v>
      </c>
      <c r="J405" s="64">
        <f>H405*AO405</f>
        <v>0</v>
      </c>
      <c r="K405" s="64">
        <f>H405*AP405</f>
        <v>2800</v>
      </c>
      <c r="L405" s="64">
        <f>H405*I405</f>
        <v>2800</v>
      </c>
      <c r="M405" s="79"/>
      <c r="N405" s="19"/>
      <c r="Z405" s="35">
        <f>IF(AQ405="5",BJ405,0)</f>
        <v>0</v>
      </c>
      <c r="AB405" s="35">
        <f>IF(AQ405="1",BH405,0)</f>
        <v>0</v>
      </c>
      <c r="AC405" s="35">
        <f>IF(AQ405="1",BI405,0)</f>
        <v>2800</v>
      </c>
      <c r="AD405" s="35">
        <f>IF(AQ405="7",BH405,0)</f>
        <v>0</v>
      </c>
      <c r="AE405" s="35">
        <f>IF(AQ405="7",BI405,0)</f>
        <v>0</v>
      </c>
      <c r="AF405" s="35">
        <f>IF(AQ405="2",BH405,0)</f>
        <v>0</v>
      </c>
      <c r="AG405" s="35">
        <f>IF(AQ405="2",BI405,0)</f>
        <v>0</v>
      </c>
      <c r="AH405" s="35">
        <f>IF(AQ405="0",BJ405,0)</f>
        <v>0</v>
      </c>
      <c r="AI405" s="83" t="s">
        <v>64</v>
      </c>
      <c r="AJ405" s="64">
        <f>IF(AN405=0,L405,0)</f>
        <v>0</v>
      </c>
      <c r="AK405" s="64">
        <f>IF(AN405=15,L405,0)</f>
        <v>0</v>
      </c>
      <c r="AL405" s="64">
        <f>IF(AN405=21,L405,0)</f>
        <v>2800</v>
      </c>
      <c r="AN405" s="35">
        <v>21</v>
      </c>
      <c r="AO405" s="35">
        <f>I405*0</f>
        <v>0</v>
      </c>
      <c r="AP405" s="35">
        <f>I405*(1-0)</f>
        <v>2800</v>
      </c>
      <c r="AQ405" s="84" t="s">
        <v>141</v>
      </c>
      <c r="AV405" s="35">
        <f>AW405+AX405</f>
        <v>2800</v>
      </c>
      <c r="AW405" s="35">
        <f>H405*AO405</f>
        <v>0</v>
      </c>
      <c r="AX405" s="35">
        <f>H405*AP405</f>
        <v>2800</v>
      </c>
      <c r="AY405" s="86" t="s">
        <v>1047</v>
      </c>
      <c r="AZ405" s="86" t="s">
        <v>1064</v>
      </c>
      <c r="BA405" s="83" t="s">
        <v>1078</v>
      </c>
      <c r="BC405" s="35">
        <f>AW405+AX405</f>
        <v>2800</v>
      </c>
      <c r="BD405" s="35">
        <f>I405/(100-BE405)*100</f>
        <v>2800</v>
      </c>
      <c r="BE405" s="35">
        <v>0</v>
      </c>
      <c r="BF405" s="35">
        <f>405</f>
        <v>405</v>
      </c>
      <c r="BH405" s="64">
        <f>H405*AO405</f>
        <v>0</v>
      </c>
      <c r="BI405" s="64">
        <f>H405*AP405</f>
        <v>2800</v>
      </c>
      <c r="BJ405" s="64">
        <f>H405*I405</f>
        <v>2800</v>
      </c>
      <c r="BK405" s="64" t="s">
        <v>1086</v>
      </c>
      <c r="BL405" s="35" t="s">
        <v>118</v>
      </c>
    </row>
    <row r="406" spans="1:64" x14ac:dyDescent="0.2">
      <c r="A406" s="19"/>
      <c r="C406" s="59" t="s">
        <v>521</v>
      </c>
      <c r="D406" s="180" t="s">
        <v>963</v>
      </c>
      <c r="E406" s="181"/>
      <c r="F406" s="181"/>
      <c r="G406" s="181"/>
      <c r="H406" s="181"/>
      <c r="I406" s="182"/>
      <c r="J406" s="181"/>
      <c r="K406" s="181"/>
      <c r="L406" s="181"/>
      <c r="M406" s="183"/>
      <c r="N406" s="19"/>
    </row>
    <row r="407" spans="1:64" x14ac:dyDescent="0.2">
      <c r="A407" s="47" t="s">
        <v>323</v>
      </c>
      <c r="B407" s="55" t="s">
        <v>64</v>
      </c>
      <c r="C407" s="55" t="s">
        <v>629</v>
      </c>
      <c r="D407" s="178" t="s">
        <v>964</v>
      </c>
      <c r="E407" s="179"/>
      <c r="F407" s="179"/>
      <c r="G407" s="55" t="s">
        <v>1002</v>
      </c>
      <c r="H407" s="64">
        <v>1</v>
      </c>
      <c r="I407" s="71">
        <v>2450</v>
      </c>
      <c r="J407" s="64">
        <f>H407*AO407</f>
        <v>0</v>
      </c>
      <c r="K407" s="64">
        <f>H407*AP407</f>
        <v>2450</v>
      </c>
      <c r="L407" s="64">
        <f>H407*I407</f>
        <v>2450</v>
      </c>
      <c r="M407" s="79"/>
      <c r="N407" s="19"/>
      <c r="Z407" s="35">
        <f>IF(AQ407="5",BJ407,0)</f>
        <v>0</v>
      </c>
      <c r="AB407" s="35">
        <f>IF(AQ407="1",BH407,0)</f>
        <v>0</v>
      </c>
      <c r="AC407" s="35">
        <f>IF(AQ407="1",BI407,0)</f>
        <v>2450</v>
      </c>
      <c r="AD407" s="35">
        <f>IF(AQ407="7",BH407,0)</f>
        <v>0</v>
      </c>
      <c r="AE407" s="35">
        <f>IF(AQ407="7",BI407,0)</f>
        <v>0</v>
      </c>
      <c r="AF407" s="35">
        <f>IF(AQ407="2",BH407,0)</f>
        <v>0</v>
      </c>
      <c r="AG407" s="35">
        <f>IF(AQ407="2",BI407,0)</f>
        <v>0</v>
      </c>
      <c r="AH407" s="35">
        <f>IF(AQ407="0",BJ407,0)</f>
        <v>0</v>
      </c>
      <c r="AI407" s="83" t="s">
        <v>64</v>
      </c>
      <c r="AJ407" s="64">
        <f>IF(AN407=0,L407,0)</f>
        <v>0</v>
      </c>
      <c r="AK407" s="64">
        <f>IF(AN407=15,L407,0)</f>
        <v>0</v>
      </c>
      <c r="AL407" s="64">
        <f>IF(AN407=21,L407,0)</f>
        <v>2450</v>
      </c>
      <c r="AN407" s="35">
        <v>21</v>
      </c>
      <c r="AO407" s="35">
        <f>I407*0</f>
        <v>0</v>
      </c>
      <c r="AP407" s="35">
        <f>I407*(1-0)</f>
        <v>2450</v>
      </c>
      <c r="AQ407" s="84" t="s">
        <v>141</v>
      </c>
      <c r="AV407" s="35">
        <f>AW407+AX407</f>
        <v>2450</v>
      </c>
      <c r="AW407" s="35">
        <f>H407*AO407</f>
        <v>0</v>
      </c>
      <c r="AX407" s="35">
        <f>H407*AP407</f>
        <v>2450</v>
      </c>
      <c r="AY407" s="86" t="s">
        <v>1047</v>
      </c>
      <c r="AZ407" s="86" t="s">
        <v>1064</v>
      </c>
      <c r="BA407" s="83" t="s">
        <v>1078</v>
      </c>
      <c r="BC407" s="35">
        <f>AW407+AX407</f>
        <v>2450</v>
      </c>
      <c r="BD407" s="35">
        <f>I407/(100-BE407)*100</f>
        <v>2450</v>
      </c>
      <c r="BE407" s="35">
        <v>0</v>
      </c>
      <c r="BF407" s="35">
        <f>407</f>
        <v>407</v>
      </c>
      <c r="BH407" s="64">
        <f>H407*AO407</f>
        <v>0</v>
      </c>
      <c r="BI407" s="64">
        <f>H407*AP407</f>
        <v>2450</v>
      </c>
      <c r="BJ407" s="64">
        <f>H407*I407</f>
        <v>2450</v>
      </c>
      <c r="BK407" s="64" t="s">
        <v>1086</v>
      </c>
      <c r="BL407" s="35" t="s">
        <v>118</v>
      </c>
    </row>
    <row r="408" spans="1:64" x14ac:dyDescent="0.2">
      <c r="A408" s="19"/>
      <c r="C408" s="59" t="s">
        <v>521</v>
      </c>
      <c r="D408" s="180" t="s">
        <v>964</v>
      </c>
      <c r="E408" s="181"/>
      <c r="F408" s="181"/>
      <c r="G408" s="181"/>
      <c r="H408" s="181"/>
      <c r="I408" s="182"/>
      <c r="J408" s="181"/>
      <c r="K408" s="181"/>
      <c r="L408" s="181"/>
      <c r="M408" s="183"/>
      <c r="N408" s="19"/>
    </row>
    <row r="409" spans="1:64" x14ac:dyDescent="0.2">
      <c r="A409" s="47" t="s">
        <v>324</v>
      </c>
      <c r="B409" s="55" t="s">
        <v>64</v>
      </c>
      <c r="C409" s="55" t="s">
        <v>630</v>
      </c>
      <c r="D409" s="178" t="s">
        <v>965</v>
      </c>
      <c r="E409" s="179"/>
      <c r="F409" s="179"/>
      <c r="G409" s="55" t="s">
        <v>1002</v>
      </c>
      <c r="H409" s="64">
        <v>1</v>
      </c>
      <c r="I409" s="71">
        <v>5500</v>
      </c>
      <c r="J409" s="64">
        <f>H409*AO409</f>
        <v>0</v>
      </c>
      <c r="K409" s="64">
        <f>H409*AP409</f>
        <v>5500</v>
      </c>
      <c r="L409" s="64">
        <f>H409*I409</f>
        <v>5500</v>
      </c>
      <c r="M409" s="79"/>
      <c r="N409" s="19"/>
      <c r="Z409" s="35">
        <f>IF(AQ409="5",BJ409,0)</f>
        <v>0</v>
      </c>
      <c r="AB409" s="35">
        <f>IF(AQ409="1",BH409,0)</f>
        <v>0</v>
      </c>
      <c r="AC409" s="35">
        <f>IF(AQ409="1",BI409,0)</f>
        <v>5500</v>
      </c>
      <c r="AD409" s="35">
        <f>IF(AQ409="7",BH409,0)</f>
        <v>0</v>
      </c>
      <c r="AE409" s="35">
        <f>IF(AQ409="7",BI409,0)</f>
        <v>0</v>
      </c>
      <c r="AF409" s="35">
        <f>IF(AQ409="2",BH409,0)</f>
        <v>0</v>
      </c>
      <c r="AG409" s="35">
        <f>IF(AQ409="2",BI409,0)</f>
        <v>0</v>
      </c>
      <c r="AH409" s="35">
        <f>IF(AQ409="0",BJ409,0)</f>
        <v>0</v>
      </c>
      <c r="AI409" s="83" t="s">
        <v>64</v>
      </c>
      <c r="AJ409" s="64">
        <f>IF(AN409=0,L409,0)</f>
        <v>0</v>
      </c>
      <c r="AK409" s="64">
        <f>IF(AN409=15,L409,0)</f>
        <v>0</v>
      </c>
      <c r="AL409" s="64">
        <f>IF(AN409=21,L409,0)</f>
        <v>5500</v>
      </c>
      <c r="AN409" s="35">
        <v>21</v>
      </c>
      <c r="AO409" s="35">
        <f>I409*0</f>
        <v>0</v>
      </c>
      <c r="AP409" s="35">
        <f>I409*(1-0)</f>
        <v>5500</v>
      </c>
      <c r="AQ409" s="84" t="s">
        <v>141</v>
      </c>
      <c r="AV409" s="35">
        <f>AW409+AX409</f>
        <v>5500</v>
      </c>
      <c r="AW409" s="35">
        <f>H409*AO409</f>
        <v>0</v>
      </c>
      <c r="AX409" s="35">
        <f>H409*AP409</f>
        <v>5500</v>
      </c>
      <c r="AY409" s="86" t="s">
        <v>1047</v>
      </c>
      <c r="AZ409" s="86" t="s">
        <v>1064</v>
      </c>
      <c r="BA409" s="83" t="s">
        <v>1078</v>
      </c>
      <c r="BC409" s="35">
        <f>AW409+AX409</f>
        <v>5500</v>
      </c>
      <c r="BD409" s="35">
        <f>I409/(100-BE409)*100</f>
        <v>5500</v>
      </c>
      <c r="BE409" s="35">
        <v>0</v>
      </c>
      <c r="BF409" s="35">
        <f>409</f>
        <v>409</v>
      </c>
      <c r="BH409" s="64">
        <f>H409*AO409</f>
        <v>0</v>
      </c>
      <c r="BI409" s="64">
        <f>H409*AP409</f>
        <v>5500</v>
      </c>
      <c r="BJ409" s="64">
        <f>H409*I409</f>
        <v>5500</v>
      </c>
      <c r="BK409" s="64" t="s">
        <v>1086</v>
      </c>
      <c r="BL409" s="35" t="s">
        <v>118</v>
      </c>
    </row>
    <row r="410" spans="1:64" x14ac:dyDescent="0.2">
      <c r="A410" s="19"/>
      <c r="C410" s="59" t="s">
        <v>521</v>
      </c>
      <c r="D410" s="180" t="s">
        <v>966</v>
      </c>
      <c r="E410" s="181"/>
      <c r="F410" s="181"/>
      <c r="G410" s="181"/>
      <c r="H410" s="181"/>
      <c r="I410" s="182"/>
      <c r="J410" s="181"/>
      <c r="K410" s="181"/>
      <c r="L410" s="181"/>
      <c r="M410" s="183"/>
      <c r="N410" s="19"/>
    </row>
    <row r="411" spans="1:64" x14ac:dyDescent="0.2">
      <c r="A411" s="47" t="s">
        <v>325</v>
      </c>
      <c r="B411" s="55" t="s">
        <v>64</v>
      </c>
      <c r="C411" s="55" t="s">
        <v>631</v>
      </c>
      <c r="D411" s="178" t="s">
        <v>967</v>
      </c>
      <c r="E411" s="179"/>
      <c r="F411" s="179"/>
      <c r="G411" s="55" t="s">
        <v>999</v>
      </c>
      <c r="H411" s="64">
        <v>100</v>
      </c>
      <c r="I411" s="71">
        <v>79</v>
      </c>
      <c r="J411" s="64">
        <f>H411*AO411</f>
        <v>0</v>
      </c>
      <c r="K411" s="64">
        <f>H411*AP411</f>
        <v>7900</v>
      </c>
      <c r="L411" s="64">
        <f>H411*I411</f>
        <v>7900</v>
      </c>
      <c r="M411" s="79" t="s">
        <v>1020</v>
      </c>
      <c r="N411" s="19"/>
      <c r="Z411" s="35">
        <f>IF(AQ411="5",BJ411,0)</f>
        <v>0</v>
      </c>
      <c r="AB411" s="35">
        <f>IF(AQ411="1",BH411,0)</f>
        <v>0</v>
      </c>
      <c r="AC411" s="35">
        <f>IF(AQ411="1",BI411,0)</f>
        <v>7900</v>
      </c>
      <c r="AD411" s="35">
        <f>IF(AQ411="7",BH411,0)</f>
        <v>0</v>
      </c>
      <c r="AE411" s="35">
        <f>IF(AQ411="7",BI411,0)</f>
        <v>0</v>
      </c>
      <c r="AF411" s="35">
        <f>IF(AQ411="2",BH411,0)</f>
        <v>0</v>
      </c>
      <c r="AG411" s="35">
        <f>IF(AQ411="2",BI411,0)</f>
        <v>0</v>
      </c>
      <c r="AH411" s="35">
        <f>IF(AQ411="0",BJ411,0)</f>
        <v>0</v>
      </c>
      <c r="AI411" s="83" t="s">
        <v>64</v>
      </c>
      <c r="AJ411" s="64">
        <f>IF(AN411=0,L411,0)</f>
        <v>0</v>
      </c>
      <c r="AK411" s="64">
        <f>IF(AN411=15,L411,0)</f>
        <v>0</v>
      </c>
      <c r="AL411" s="64">
        <f>IF(AN411=21,L411,0)</f>
        <v>7900</v>
      </c>
      <c r="AN411" s="35">
        <v>21</v>
      </c>
      <c r="AO411" s="35">
        <f>I411*0</f>
        <v>0</v>
      </c>
      <c r="AP411" s="35">
        <f>I411*(1-0)</f>
        <v>79</v>
      </c>
      <c r="AQ411" s="84" t="s">
        <v>141</v>
      </c>
      <c r="AV411" s="35">
        <f>AW411+AX411</f>
        <v>7900</v>
      </c>
      <c r="AW411" s="35">
        <f>H411*AO411</f>
        <v>0</v>
      </c>
      <c r="AX411" s="35">
        <f>H411*AP411</f>
        <v>7900</v>
      </c>
      <c r="AY411" s="86" t="s">
        <v>1047</v>
      </c>
      <c r="AZ411" s="86" t="s">
        <v>1064</v>
      </c>
      <c r="BA411" s="83" t="s">
        <v>1078</v>
      </c>
      <c r="BC411" s="35">
        <f>AW411+AX411</f>
        <v>7900</v>
      </c>
      <c r="BD411" s="35">
        <f>I411/(100-BE411)*100</f>
        <v>79</v>
      </c>
      <c r="BE411" s="35">
        <v>0</v>
      </c>
      <c r="BF411" s="35">
        <f>411</f>
        <v>411</v>
      </c>
      <c r="BH411" s="64">
        <f>H411*AO411</f>
        <v>0</v>
      </c>
      <c r="BI411" s="64">
        <f>H411*AP411</f>
        <v>7900</v>
      </c>
      <c r="BJ411" s="64">
        <f>H411*I411</f>
        <v>7900</v>
      </c>
      <c r="BK411" s="64" t="s">
        <v>1086</v>
      </c>
      <c r="BL411" s="35" t="s">
        <v>118</v>
      </c>
    </row>
    <row r="412" spans="1:64" x14ac:dyDescent="0.2">
      <c r="A412" s="19"/>
      <c r="C412" s="59" t="s">
        <v>521</v>
      </c>
      <c r="D412" s="180" t="s">
        <v>968</v>
      </c>
      <c r="E412" s="181"/>
      <c r="F412" s="181"/>
      <c r="G412" s="181"/>
      <c r="H412" s="181"/>
      <c r="I412" s="182"/>
      <c r="J412" s="181"/>
      <c r="K412" s="181"/>
      <c r="L412" s="181"/>
      <c r="M412" s="183"/>
      <c r="N412" s="19"/>
    </row>
    <row r="413" spans="1:64" x14ac:dyDescent="0.2">
      <c r="A413" s="48"/>
      <c r="B413" s="56" t="s">
        <v>65</v>
      </c>
      <c r="C413" s="56"/>
      <c r="D413" s="184" t="s">
        <v>72</v>
      </c>
      <c r="E413" s="185"/>
      <c r="F413" s="185"/>
      <c r="G413" s="62" t="s">
        <v>60</v>
      </c>
      <c r="H413" s="62" t="s">
        <v>60</v>
      </c>
      <c r="I413" s="72" t="s">
        <v>60</v>
      </c>
      <c r="J413" s="90">
        <f>J414+J421+J432+J441+J468+J573</f>
        <v>256418</v>
      </c>
      <c r="K413" s="90">
        <f>K414+K421+K432+K441+K468+K573</f>
        <v>93268.05</v>
      </c>
      <c r="L413" s="90">
        <f>L414+L421+L432+L441+L468+L573</f>
        <v>349686.05</v>
      </c>
      <c r="M413" s="80"/>
      <c r="N413" s="19"/>
    </row>
    <row r="414" spans="1:64" x14ac:dyDescent="0.2">
      <c r="A414" s="46"/>
      <c r="B414" s="54" t="s">
        <v>65</v>
      </c>
      <c r="C414" s="54" t="s">
        <v>102</v>
      </c>
      <c r="D414" s="176" t="s">
        <v>121</v>
      </c>
      <c r="E414" s="177"/>
      <c r="F414" s="177"/>
      <c r="G414" s="61" t="s">
        <v>60</v>
      </c>
      <c r="H414" s="61" t="s">
        <v>60</v>
      </c>
      <c r="I414" s="70" t="s">
        <v>60</v>
      </c>
      <c r="J414" s="89">
        <f>SUM(J415:J419)</f>
        <v>4060</v>
      </c>
      <c r="K414" s="89">
        <f>SUM(K415:K419)</f>
        <v>9713.9069999999992</v>
      </c>
      <c r="L414" s="89">
        <f>SUM(L415:L419)</f>
        <v>13773.906999999999</v>
      </c>
      <c r="M414" s="78"/>
      <c r="N414" s="19"/>
      <c r="AI414" s="83" t="s">
        <v>65</v>
      </c>
      <c r="AS414" s="89">
        <f>SUM(AJ415:AJ419)</f>
        <v>0</v>
      </c>
      <c r="AT414" s="89">
        <f>SUM(AK415:AK419)</f>
        <v>0</v>
      </c>
      <c r="AU414" s="89">
        <f>SUM(AL415:AL419)</f>
        <v>13773.906999999999</v>
      </c>
    </row>
    <row r="415" spans="1:64" x14ac:dyDescent="0.2">
      <c r="A415" s="47" t="s">
        <v>326</v>
      </c>
      <c r="B415" s="55" t="s">
        <v>65</v>
      </c>
      <c r="C415" s="55" t="s">
        <v>548</v>
      </c>
      <c r="D415" s="178" t="s">
        <v>869</v>
      </c>
      <c r="E415" s="179"/>
      <c r="F415" s="179"/>
      <c r="G415" s="55" t="s">
        <v>999</v>
      </c>
      <c r="H415" s="64">
        <v>7</v>
      </c>
      <c r="I415" s="71">
        <v>1350</v>
      </c>
      <c r="J415" s="64">
        <f>H415*AO415</f>
        <v>0</v>
      </c>
      <c r="K415" s="64">
        <f>H415*AP415</f>
        <v>9450</v>
      </c>
      <c r="L415" s="64">
        <f>H415*I415</f>
        <v>9450</v>
      </c>
      <c r="M415" s="79" t="s">
        <v>1020</v>
      </c>
      <c r="N415" s="19"/>
      <c r="Z415" s="35">
        <f>IF(AQ415="5",BJ415,0)</f>
        <v>0</v>
      </c>
      <c r="AB415" s="35">
        <f>IF(AQ415="1",BH415,0)</f>
        <v>0</v>
      </c>
      <c r="AC415" s="35">
        <f>IF(AQ415="1",BI415,0)</f>
        <v>0</v>
      </c>
      <c r="AD415" s="35">
        <f>IF(AQ415="7",BH415,0)</f>
        <v>0</v>
      </c>
      <c r="AE415" s="35">
        <f>IF(AQ415="7",BI415,0)</f>
        <v>9450</v>
      </c>
      <c r="AF415" s="35">
        <f>IF(AQ415="2",BH415,0)</f>
        <v>0</v>
      </c>
      <c r="AG415" s="35">
        <f>IF(AQ415="2",BI415,0)</f>
        <v>0</v>
      </c>
      <c r="AH415" s="35">
        <f>IF(AQ415="0",BJ415,0)</f>
        <v>0</v>
      </c>
      <c r="AI415" s="83" t="s">
        <v>65</v>
      </c>
      <c r="AJ415" s="64">
        <f>IF(AN415=0,L415,0)</f>
        <v>0</v>
      </c>
      <c r="AK415" s="64">
        <f>IF(AN415=15,L415,0)</f>
        <v>0</v>
      </c>
      <c r="AL415" s="64">
        <f>IF(AN415=21,L415,0)</f>
        <v>9450</v>
      </c>
      <c r="AN415" s="35">
        <v>21</v>
      </c>
      <c r="AO415" s="35">
        <f>I415*0</f>
        <v>0</v>
      </c>
      <c r="AP415" s="35">
        <f>I415*(1-0)</f>
        <v>1350</v>
      </c>
      <c r="AQ415" s="84" t="s">
        <v>144</v>
      </c>
      <c r="AV415" s="35">
        <f>AW415+AX415</f>
        <v>9450</v>
      </c>
      <c r="AW415" s="35">
        <f>H415*AO415</f>
        <v>0</v>
      </c>
      <c r="AX415" s="35">
        <f>H415*AP415</f>
        <v>9450</v>
      </c>
      <c r="AY415" s="86" t="s">
        <v>1031</v>
      </c>
      <c r="AZ415" s="86" t="s">
        <v>1065</v>
      </c>
      <c r="BA415" s="83" t="s">
        <v>1079</v>
      </c>
      <c r="BC415" s="35">
        <f>AW415+AX415</f>
        <v>9450</v>
      </c>
      <c r="BD415" s="35">
        <f>I415/(100-BE415)*100</f>
        <v>1350</v>
      </c>
      <c r="BE415" s="35">
        <v>0</v>
      </c>
      <c r="BF415" s="35">
        <f>415</f>
        <v>415</v>
      </c>
      <c r="BH415" s="64">
        <f>H415*AO415</f>
        <v>0</v>
      </c>
      <c r="BI415" s="64">
        <f>H415*AP415</f>
        <v>9450</v>
      </c>
      <c r="BJ415" s="64">
        <f>H415*I415</f>
        <v>9450</v>
      </c>
      <c r="BK415" s="64" t="s">
        <v>1086</v>
      </c>
      <c r="BL415" s="35">
        <v>713</v>
      </c>
    </row>
    <row r="416" spans="1:64" x14ac:dyDescent="0.2">
      <c r="A416" s="19"/>
      <c r="C416" s="59" t="s">
        <v>521</v>
      </c>
      <c r="D416" s="180" t="s">
        <v>869</v>
      </c>
      <c r="E416" s="181"/>
      <c r="F416" s="181"/>
      <c r="G416" s="181"/>
      <c r="H416" s="181"/>
      <c r="I416" s="182"/>
      <c r="J416" s="181"/>
      <c r="K416" s="181"/>
      <c r="L416" s="181"/>
      <c r="M416" s="183"/>
      <c r="N416" s="19"/>
    </row>
    <row r="417" spans="1:64" x14ac:dyDescent="0.2">
      <c r="A417" s="49" t="s">
        <v>327</v>
      </c>
      <c r="B417" s="57" t="s">
        <v>65</v>
      </c>
      <c r="C417" s="57" t="s">
        <v>694</v>
      </c>
      <c r="D417" s="186" t="s">
        <v>870</v>
      </c>
      <c r="E417" s="187"/>
      <c r="F417" s="187"/>
      <c r="G417" s="57" t="s">
        <v>999</v>
      </c>
      <c r="H417" s="65">
        <v>7</v>
      </c>
      <c r="I417" s="73">
        <v>580</v>
      </c>
      <c r="J417" s="65">
        <f>H417*AO417</f>
        <v>4060</v>
      </c>
      <c r="K417" s="65">
        <f>H417*AP417</f>
        <v>0</v>
      </c>
      <c r="L417" s="65">
        <f>H417*I417</f>
        <v>4060</v>
      </c>
      <c r="M417" s="81"/>
      <c r="N417" s="19"/>
      <c r="Z417" s="35">
        <f>IF(AQ417="5",BJ417,0)</f>
        <v>0</v>
      </c>
      <c r="AB417" s="35">
        <f>IF(AQ417="1",BH417,0)</f>
        <v>0</v>
      </c>
      <c r="AC417" s="35">
        <f>IF(AQ417="1",BI417,0)</f>
        <v>0</v>
      </c>
      <c r="AD417" s="35">
        <f>IF(AQ417="7",BH417,0)</f>
        <v>4060</v>
      </c>
      <c r="AE417" s="35">
        <f>IF(AQ417="7",BI417,0)</f>
        <v>0</v>
      </c>
      <c r="AF417" s="35">
        <f>IF(AQ417="2",BH417,0)</f>
        <v>0</v>
      </c>
      <c r="AG417" s="35">
        <f>IF(AQ417="2",BI417,0)</f>
        <v>0</v>
      </c>
      <c r="AH417" s="35">
        <f>IF(AQ417="0",BJ417,0)</f>
        <v>0</v>
      </c>
      <c r="AI417" s="83" t="s">
        <v>65</v>
      </c>
      <c r="AJ417" s="65">
        <f>IF(AN417=0,L417,0)</f>
        <v>0</v>
      </c>
      <c r="AK417" s="65">
        <f>IF(AN417=15,L417,0)</f>
        <v>0</v>
      </c>
      <c r="AL417" s="65">
        <f>IF(AN417=21,L417,0)</f>
        <v>4060</v>
      </c>
      <c r="AN417" s="35">
        <v>21</v>
      </c>
      <c r="AO417" s="35">
        <f>I417*1</f>
        <v>580</v>
      </c>
      <c r="AP417" s="35">
        <f>I417*(1-1)</f>
        <v>0</v>
      </c>
      <c r="AQ417" s="85" t="s">
        <v>144</v>
      </c>
      <c r="AV417" s="35">
        <f>AW417+AX417</f>
        <v>4060</v>
      </c>
      <c r="AW417" s="35">
        <f>H417*AO417</f>
        <v>4060</v>
      </c>
      <c r="AX417" s="35">
        <f>H417*AP417</f>
        <v>0</v>
      </c>
      <c r="AY417" s="86" t="s">
        <v>1031</v>
      </c>
      <c r="AZ417" s="86" t="s">
        <v>1065</v>
      </c>
      <c r="BA417" s="83" t="s">
        <v>1079</v>
      </c>
      <c r="BC417" s="35">
        <f>AW417+AX417</f>
        <v>4060</v>
      </c>
      <c r="BD417" s="35">
        <f>I417/(100-BE417)*100</f>
        <v>580</v>
      </c>
      <c r="BE417" s="35">
        <v>0</v>
      </c>
      <c r="BF417" s="35">
        <f>417</f>
        <v>417</v>
      </c>
      <c r="BH417" s="65">
        <f>H417*AO417</f>
        <v>4060</v>
      </c>
      <c r="BI417" s="65">
        <f>H417*AP417</f>
        <v>0</v>
      </c>
      <c r="BJ417" s="65">
        <f>H417*I417</f>
        <v>4060</v>
      </c>
      <c r="BK417" s="65" t="s">
        <v>1001</v>
      </c>
      <c r="BL417" s="35">
        <v>713</v>
      </c>
    </row>
    <row r="418" spans="1:64" x14ac:dyDescent="0.2">
      <c r="A418" s="19"/>
      <c r="C418" s="59" t="s">
        <v>521</v>
      </c>
      <c r="D418" s="180" t="s">
        <v>870</v>
      </c>
      <c r="E418" s="181"/>
      <c r="F418" s="181"/>
      <c r="G418" s="181"/>
      <c r="H418" s="181"/>
      <c r="I418" s="182"/>
      <c r="J418" s="181"/>
      <c r="K418" s="181"/>
      <c r="L418" s="181"/>
      <c r="M418" s="183"/>
      <c r="N418" s="19"/>
    </row>
    <row r="419" spans="1:64" x14ac:dyDescent="0.2">
      <c r="A419" s="47" t="s">
        <v>328</v>
      </c>
      <c r="B419" s="55" t="s">
        <v>65</v>
      </c>
      <c r="C419" s="55" t="s">
        <v>550</v>
      </c>
      <c r="D419" s="178" t="s">
        <v>871</v>
      </c>
      <c r="E419" s="179"/>
      <c r="F419" s="179"/>
      <c r="G419" s="55" t="s">
        <v>1000</v>
      </c>
      <c r="H419" s="64">
        <v>149.1</v>
      </c>
      <c r="I419" s="71">
        <v>1.77</v>
      </c>
      <c r="J419" s="64">
        <f>H419*AO419</f>
        <v>0</v>
      </c>
      <c r="K419" s="64">
        <f>H419*AP419</f>
        <v>263.90699999999998</v>
      </c>
      <c r="L419" s="64">
        <f>H419*I419</f>
        <v>263.90699999999998</v>
      </c>
      <c r="M419" s="79" t="s">
        <v>1020</v>
      </c>
      <c r="N419" s="19"/>
      <c r="Z419" s="35">
        <f>IF(AQ419="5",BJ419,0)</f>
        <v>0</v>
      </c>
      <c r="AB419" s="35">
        <f>IF(AQ419="1",BH419,0)</f>
        <v>0</v>
      </c>
      <c r="AC419" s="35">
        <f>IF(AQ419="1",BI419,0)</f>
        <v>0</v>
      </c>
      <c r="AD419" s="35">
        <f>IF(AQ419="7",BH419,0)</f>
        <v>0</v>
      </c>
      <c r="AE419" s="35">
        <f>IF(AQ419="7",BI419,0)</f>
        <v>263.90699999999998</v>
      </c>
      <c r="AF419" s="35">
        <f>IF(AQ419="2",BH419,0)</f>
        <v>0</v>
      </c>
      <c r="AG419" s="35">
        <f>IF(AQ419="2",BI419,0)</f>
        <v>0</v>
      </c>
      <c r="AH419" s="35">
        <f>IF(AQ419="0",BJ419,0)</f>
        <v>0</v>
      </c>
      <c r="AI419" s="83" t="s">
        <v>65</v>
      </c>
      <c r="AJ419" s="64">
        <f>IF(AN419=0,L419,0)</f>
        <v>0</v>
      </c>
      <c r="AK419" s="64">
        <f>IF(AN419=15,L419,0)</f>
        <v>0</v>
      </c>
      <c r="AL419" s="64">
        <f>IF(AN419=21,L419,0)</f>
        <v>263.90699999999998</v>
      </c>
      <c r="AN419" s="35">
        <v>21</v>
      </c>
      <c r="AO419" s="35">
        <f>I419*0</f>
        <v>0</v>
      </c>
      <c r="AP419" s="35">
        <f>I419*(1-0)</f>
        <v>1.77</v>
      </c>
      <c r="AQ419" s="84" t="s">
        <v>144</v>
      </c>
      <c r="AV419" s="35">
        <f>AW419+AX419</f>
        <v>263.90699999999998</v>
      </c>
      <c r="AW419" s="35">
        <f>H419*AO419</f>
        <v>0</v>
      </c>
      <c r="AX419" s="35">
        <f>H419*AP419</f>
        <v>263.90699999999998</v>
      </c>
      <c r="AY419" s="86" t="s">
        <v>1031</v>
      </c>
      <c r="AZ419" s="86" t="s">
        <v>1065</v>
      </c>
      <c r="BA419" s="83" t="s">
        <v>1079</v>
      </c>
      <c r="BC419" s="35">
        <f>AW419+AX419</f>
        <v>263.90699999999998</v>
      </c>
      <c r="BD419" s="35">
        <f>I419/(100-BE419)*100</f>
        <v>1.77</v>
      </c>
      <c r="BE419" s="35">
        <v>0</v>
      </c>
      <c r="BF419" s="35">
        <f>419</f>
        <v>419</v>
      </c>
      <c r="BH419" s="64">
        <f>H419*AO419</f>
        <v>0</v>
      </c>
      <c r="BI419" s="64">
        <f>H419*AP419</f>
        <v>263.90699999999998</v>
      </c>
      <c r="BJ419" s="64">
        <f>H419*I419</f>
        <v>263.90699999999998</v>
      </c>
      <c r="BK419" s="64" t="s">
        <v>1086</v>
      </c>
      <c r="BL419" s="35">
        <v>713</v>
      </c>
    </row>
    <row r="420" spans="1:64" x14ac:dyDescent="0.2">
      <c r="A420" s="19"/>
      <c r="C420" s="59" t="s">
        <v>521</v>
      </c>
      <c r="D420" s="180" t="s">
        <v>872</v>
      </c>
      <c r="E420" s="181"/>
      <c r="F420" s="181"/>
      <c r="G420" s="181"/>
      <c r="H420" s="181"/>
      <c r="I420" s="182"/>
      <c r="J420" s="181"/>
      <c r="K420" s="181"/>
      <c r="L420" s="181"/>
      <c r="M420" s="183"/>
      <c r="N420" s="19"/>
    </row>
    <row r="421" spans="1:64" x14ac:dyDescent="0.2">
      <c r="A421" s="46"/>
      <c r="B421" s="54" t="s">
        <v>65</v>
      </c>
      <c r="C421" s="54" t="s">
        <v>114</v>
      </c>
      <c r="D421" s="176" t="s">
        <v>133</v>
      </c>
      <c r="E421" s="177"/>
      <c r="F421" s="177"/>
      <c r="G421" s="61" t="s">
        <v>60</v>
      </c>
      <c r="H421" s="61" t="s">
        <v>60</v>
      </c>
      <c r="I421" s="70" t="s">
        <v>60</v>
      </c>
      <c r="J421" s="89">
        <f>SUM(J422:J430)</f>
        <v>605</v>
      </c>
      <c r="K421" s="89">
        <f>SUM(K422:K430)</f>
        <v>1677.2809999999999</v>
      </c>
      <c r="L421" s="89">
        <f>SUM(L422:L430)</f>
        <v>2282.2809999999999</v>
      </c>
      <c r="M421" s="78"/>
      <c r="N421" s="19"/>
      <c r="AI421" s="83" t="s">
        <v>65</v>
      </c>
      <c r="AS421" s="89">
        <f>SUM(AJ422:AJ430)</f>
        <v>0</v>
      </c>
      <c r="AT421" s="89">
        <f>SUM(AK422:AK430)</f>
        <v>0</v>
      </c>
      <c r="AU421" s="89">
        <f>SUM(AL422:AL430)</f>
        <v>2282.2809999999999</v>
      </c>
    </row>
    <row r="422" spans="1:64" x14ac:dyDescent="0.2">
      <c r="A422" s="47" t="s">
        <v>329</v>
      </c>
      <c r="B422" s="55" t="s">
        <v>65</v>
      </c>
      <c r="C422" s="55" t="s">
        <v>551</v>
      </c>
      <c r="D422" s="178" t="s">
        <v>873</v>
      </c>
      <c r="E422" s="179"/>
      <c r="F422" s="179"/>
      <c r="G422" s="55" t="s">
        <v>1001</v>
      </c>
      <c r="H422" s="64">
        <v>10</v>
      </c>
      <c r="I422" s="71">
        <v>125</v>
      </c>
      <c r="J422" s="64">
        <f>H422*AO422</f>
        <v>0</v>
      </c>
      <c r="K422" s="64">
        <f>H422*AP422</f>
        <v>1250</v>
      </c>
      <c r="L422" s="64">
        <f>H422*I422</f>
        <v>1250</v>
      </c>
      <c r="M422" s="79"/>
      <c r="N422" s="19"/>
      <c r="Z422" s="35">
        <f>IF(AQ422="5",BJ422,0)</f>
        <v>0</v>
      </c>
      <c r="AB422" s="35">
        <f>IF(AQ422="1",BH422,0)</f>
        <v>0</v>
      </c>
      <c r="AC422" s="35">
        <f>IF(AQ422="1",BI422,0)</f>
        <v>0</v>
      </c>
      <c r="AD422" s="35">
        <f>IF(AQ422="7",BH422,0)</f>
        <v>0</v>
      </c>
      <c r="AE422" s="35">
        <f>IF(AQ422="7",BI422,0)</f>
        <v>1250</v>
      </c>
      <c r="AF422" s="35">
        <f>IF(AQ422="2",BH422,0)</f>
        <v>0</v>
      </c>
      <c r="AG422" s="35">
        <f>IF(AQ422="2",BI422,0)</f>
        <v>0</v>
      </c>
      <c r="AH422" s="35">
        <f>IF(AQ422="0",BJ422,0)</f>
        <v>0</v>
      </c>
      <c r="AI422" s="83" t="s">
        <v>65</v>
      </c>
      <c r="AJ422" s="64">
        <f>IF(AN422=0,L422,0)</f>
        <v>0</v>
      </c>
      <c r="AK422" s="64">
        <f>IF(AN422=15,L422,0)</f>
        <v>0</v>
      </c>
      <c r="AL422" s="64">
        <f>IF(AN422=21,L422,0)</f>
        <v>1250</v>
      </c>
      <c r="AN422" s="35">
        <v>21</v>
      </c>
      <c r="AO422" s="35">
        <f>I422*0</f>
        <v>0</v>
      </c>
      <c r="AP422" s="35">
        <f>I422*(1-0)</f>
        <v>125</v>
      </c>
      <c r="AQ422" s="84" t="s">
        <v>144</v>
      </c>
      <c r="AV422" s="35">
        <f>AW422+AX422</f>
        <v>1250</v>
      </c>
      <c r="AW422" s="35">
        <f>H422*AO422</f>
        <v>0</v>
      </c>
      <c r="AX422" s="35">
        <f>H422*AP422</f>
        <v>1250</v>
      </c>
      <c r="AY422" s="86" t="s">
        <v>1043</v>
      </c>
      <c r="AZ422" s="86" t="s">
        <v>1066</v>
      </c>
      <c r="BA422" s="83" t="s">
        <v>1079</v>
      </c>
      <c r="BC422" s="35">
        <f>AW422+AX422</f>
        <v>1250</v>
      </c>
      <c r="BD422" s="35">
        <f>I422/(100-BE422)*100</f>
        <v>125</v>
      </c>
      <c r="BE422" s="35">
        <v>0</v>
      </c>
      <c r="BF422" s="35">
        <f>422</f>
        <v>422</v>
      </c>
      <c r="BH422" s="64">
        <f>H422*AO422</f>
        <v>0</v>
      </c>
      <c r="BI422" s="64">
        <f>H422*AP422</f>
        <v>1250</v>
      </c>
      <c r="BJ422" s="64">
        <f>H422*I422</f>
        <v>1250</v>
      </c>
      <c r="BK422" s="64" t="s">
        <v>1086</v>
      </c>
      <c r="BL422" s="35">
        <v>724</v>
      </c>
    </row>
    <row r="423" spans="1:64" x14ac:dyDescent="0.2">
      <c r="A423" s="19"/>
      <c r="C423" s="59" t="s">
        <v>521</v>
      </c>
      <c r="D423" s="180" t="s">
        <v>873</v>
      </c>
      <c r="E423" s="181"/>
      <c r="F423" s="181"/>
      <c r="G423" s="181"/>
      <c r="H423" s="181"/>
      <c r="I423" s="182"/>
      <c r="J423" s="181"/>
      <c r="K423" s="181"/>
      <c r="L423" s="181"/>
      <c r="M423" s="183"/>
      <c r="N423" s="19"/>
    </row>
    <row r="424" spans="1:64" x14ac:dyDescent="0.2">
      <c r="A424" s="49" t="s">
        <v>330</v>
      </c>
      <c r="B424" s="57" t="s">
        <v>65</v>
      </c>
      <c r="C424" s="57" t="s">
        <v>695</v>
      </c>
      <c r="D424" s="186" t="s">
        <v>874</v>
      </c>
      <c r="E424" s="187"/>
      <c r="F424" s="187"/>
      <c r="G424" s="57" t="s">
        <v>1001</v>
      </c>
      <c r="H424" s="65">
        <v>11</v>
      </c>
      <c r="I424" s="73">
        <v>19</v>
      </c>
      <c r="J424" s="65">
        <f>H424*AO424</f>
        <v>209</v>
      </c>
      <c r="K424" s="65">
        <f>H424*AP424</f>
        <v>0</v>
      </c>
      <c r="L424" s="65">
        <f>H424*I424</f>
        <v>209</v>
      </c>
      <c r="M424" s="81"/>
      <c r="N424" s="19"/>
      <c r="Z424" s="35">
        <f>IF(AQ424="5",BJ424,0)</f>
        <v>0</v>
      </c>
      <c r="AB424" s="35">
        <f>IF(AQ424="1",BH424,0)</f>
        <v>0</v>
      </c>
      <c r="AC424" s="35">
        <f>IF(AQ424="1",BI424,0)</f>
        <v>0</v>
      </c>
      <c r="AD424" s="35">
        <f>IF(AQ424="7",BH424,0)</f>
        <v>209</v>
      </c>
      <c r="AE424" s="35">
        <f>IF(AQ424="7",BI424,0)</f>
        <v>0</v>
      </c>
      <c r="AF424" s="35">
        <f>IF(AQ424="2",BH424,0)</f>
        <v>0</v>
      </c>
      <c r="AG424" s="35">
        <f>IF(AQ424="2",BI424,0)</f>
        <v>0</v>
      </c>
      <c r="AH424" s="35">
        <f>IF(AQ424="0",BJ424,0)</f>
        <v>0</v>
      </c>
      <c r="AI424" s="83" t="s">
        <v>65</v>
      </c>
      <c r="AJ424" s="65">
        <f>IF(AN424=0,L424,0)</f>
        <v>0</v>
      </c>
      <c r="AK424" s="65">
        <f>IF(AN424=15,L424,0)</f>
        <v>0</v>
      </c>
      <c r="AL424" s="65">
        <f>IF(AN424=21,L424,0)</f>
        <v>209</v>
      </c>
      <c r="AN424" s="35">
        <v>21</v>
      </c>
      <c r="AO424" s="35">
        <f>I424*1</f>
        <v>19</v>
      </c>
      <c r="AP424" s="35">
        <f>I424*(1-1)</f>
        <v>0</v>
      </c>
      <c r="AQ424" s="85" t="s">
        <v>144</v>
      </c>
      <c r="AV424" s="35">
        <f>AW424+AX424</f>
        <v>209</v>
      </c>
      <c r="AW424" s="35">
        <f>H424*AO424</f>
        <v>209</v>
      </c>
      <c r="AX424" s="35">
        <f>H424*AP424</f>
        <v>0</v>
      </c>
      <c r="AY424" s="86" t="s">
        <v>1043</v>
      </c>
      <c r="AZ424" s="86" t="s">
        <v>1066</v>
      </c>
      <c r="BA424" s="83" t="s">
        <v>1079</v>
      </c>
      <c r="BC424" s="35">
        <f>AW424+AX424</f>
        <v>209</v>
      </c>
      <c r="BD424" s="35">
        <f>I424/(100-BE424)*100</f>
        <v>19</v>
      </c>
      <c r="BE424" s="35">
        <v>0</v>
      </c>
      <c r="BF424" s="35">
        <f>424</f>
        <v>424</v>
      </c>
      <c r="BH424" s="65">
        <f>H424*AO424</f>
        <v>209</v>
      </c>
      <c r="BI424" s="65">
        <f>H424*AP424</f>
        <v>0</v>
      </c>
      <c r="BJ424" s="65">
        <f>H424*I424</f>
        <v>209</v>
      </c>
      <c r="BK424" s="65" t="s">
        <v>1001</v>
      </c>
      <c r="BL424" s="35">
        <v>724</v>
      </c>
    </row>
    <row r="425" spans="1:64" x14ac:dyDescent="0.2">
      <c r="A425" s="19"/>
      <c r="C425" s="59" t="s">
        <v>521</v>
      </c>
      <c r="D425" s="180" t="s">
        <v>874</v>
      </c>
      <c r="E425" s="181"/>
      <c r="F425" s="181"/>
      <c r="G425" s="181"/>
      <c r="H425" s="181"/>
      <c r="I425" s="182"/>
      <c r="J425" s="181"/>
      <c r="K425" s="181"/>
      <c r="L425" s="181"/>
      <c r="M425" s="183"/>
      <c r="N425" s="19"/>
    </row>
    <row r="426" spans="1:64" x14ac:dyDescent="0.2">
      <c r="A426" s="47" t="s">
        <v>331</v>
      </c>
      <c r="B426" s="55" t="s">
        <v>65</v>
      </c>
      <c r="C426" s="55" t="s">
        <v>696</v>
      </c>
      <c r="D426" s="178" t="s">
        <v>875</v>
      </c>
      <c r="E426" s="179"/>
      <c r="F426" s="179"/>
      <c r="G426" s="55" t="s">
        <v>1002</v>
      </c>
      <c r="H426" s="64">
        <v>1</v>
      </c>
      <c r="I426" s="71">
        <v>396</v>
      </c>
      <c r="J426" s="64">
        <f>H426*AO426</f>
        <v>0</v>
      </c>
      <c r="K426" s="64">
        <f>H426*AP426</f>
        <v>396</v>
      </c>
      <c r="L426" s="64">
        <f>H426*I426</f>
        <v>396</v>
      </c>
      <c r="M426" s="79"/>
      <c r="N426" s="19"/>
      <c r="Z426" s="35">
        <f>IF(AQ426="5",BJ426,0)</f>
        <v>0</v>
      </c>
      <c r="AB426" s="35">
        <f>IF(AQ426="1",BH426,0)</f>
        <v>0</v>
      </c>
      <c r="AC426" s="35">
        <f>IF(AQ426="1",BI426,0)</f>
        <v>0</v>
      </c>
      <c r="AD426" s="35">
        <f>IF(AQ426="7",BH426,0)</f>
        <v>0</v>
      </c>
      <c r="AE426" s="35">
        <f>IF(AQ426="7",BI426,0)</f>
        <v>396</v>
      </c>
      <c r="AF426" s="35">
        <f>IF(AQ426="2",BH426,0)</f>
        <v>0</v>
      </c>
      <c r="AG426" s="35">
        <f>IF(AQ426="2",BI426,0)</f>
        <v>0</v>
      </c>
      <c r="AH426" s="35">
        <f>IF(AQ426="0",BJ426,0)</f>
        <v>0</v>
      </c>
      <c r="AI426" s="83" t="s">
        <v>65</v>
      </c>
      <c r="AJ426" s="64">
        <f>IF(AN426=0,L426,0)</f>
        <v>0</v>
      </c>
      <c r="AK426" s="64">
        <f>IF(AN426=15,L426,0)</f>
        <v>0</v>
      </c>
      <c r="AL426" s="64">
        <f>IF(AN426=21,L426,0)</f>
        <v>396</v>
      </c>
      <c r="AN426" s="35">
        <v>21</v>
      </c>
      <c r="AO426" s="35">
        <f>I426*0</f>
        <v>0</v>
      </c>
      <c r="AP426" s="35">
        <f>I426*(1-0)</f>
        <v>396</v>
      </c>
      <c r="AQ426" s="84" t="s">
        <v>144</v>
      </c>
      <c r="AV426" s="35">
        <f>AW426+AX426</f>
        <v>396</v>
      </c>
      <c r="AW426" s="35">
        <f>H426*AO426</f>
        <v>0</v>
      </c>
      <c r="AX426" s="35">
        <f>H426*AP426</f>
        <v>396</v>
      </c>
      <c r="AY426" s="86" t="s">
        <v>1043</v>
      </c>
      <c r="AZ426" s="86" t="s">
        <v>1066</v>
      </c>
      <c r="BA426" s="83" t="s">
        <v>1079</v>
      </c>
      <c r="BC426" s="35">
        <f>AW426+AX426</f>
        <v>396</v>
      </c>
      <c r="BD426" s="35">
        <f>I426/(100-BE426)*100</f>
        <v>396</v>
      </c>
      <c r="BE426" s="35">
        <v>0</v>
      </c>
      <c r="BF426" s="35">
        <f>426</f>
        <v>426</v>
      </c>
      <c r="BH426" s="64">
        <f>H426*AO426</f>
        <v>0</v>
      </c>
      <c r="BI426" s="64">
        <f>H426*AP426</f>
        <v>396</v>
      </c>
      <c r="BJ426" s="64">
        <f>H426*I426</f>
        <v>396</v>
      </c>
      <c r="BK426" s="64" t="s">
        <v>1086</v>
      </c>
      <c r="BL426" s="35">
        <v>724</v>
      </c>
    </row>
    <row r="427" spans="1:64" x14ac:dyDescent="0.2">
      <c r="A427" s="19"/>
      <c r="C427" s="59" t="s">
        <v>521</v>
      </c>
      <c r="D427" s="180" t="s">
        <v>875</v>
      </c>
      <c r="E427" s="181"/>
      <c r="F427" s="181"/>
      <c r="G427" s="181"/>
      <c r="H427" s="181"/>
      <c r="I427" s="182"/>
      <c r="J427" s="181"/>
      <c r="K427" s="181"/>
      <c r="L427" s="181"/>
      <c r="M427" s="183"/>
      <c r="N427" s="19"/>
    </row>
    <row r="428" spans="1:64" x14ac:dyDescent="0.2">
      <c r="A428" s="49" t="s">
        <v>332</v>
      </c>
      <c r="B428" s="57" t="s">
        <v>65</v>
      </c>
      <c r="C428" s="57" t="s">
        <v>697</v>
      </c>
      <c r="D428" s="186" t="s">
        <v>876</v>
      </c>
      <c r="E428" s="187"/>
      <c r="F428" s="187"/>
      <c r="G428" s="57" t="s">
        <v>1001</v>
      </c>
      <c r="H428" s="65">
        <v>11</v>
      </c>
      <c r="I428" s="73">
        <v>36</v>
      </c>
      <c r="J428" s="65">
        <f>H428*AO428</f>
        <v>396</v>
      </c>
      <c r="K428" s="65">
        <f>H428*AP428</f>
        <v>0</v>
      </c>
      <c r="L428" s="65">
        <f>H428*I428</f>
        <v>396</v>
      </c>
      <c r="M428" s="81"/>
      <c r="N428" s="19"/>
      <c r="Z428" s="35">
        <f>IF(AQ428="5",BJ428,0)</f>
        <v>0</v>
      </c>
      <c r="AB428" s="35">
        <f>IF(AQ428="1",BH428,0)</f>
        <v>0</v>
      </c>
      <c r="AC428" s="35">
        <f>IF(AQ428="1",BI428,0)</f>
        <v>0</v>
      </c>
      <c r="AD428" s="35">
        <f>IF(AQ428="7",BH428,0)</f>
        <v>396</v>
      </c>
      <c r="AE428" s="35">
        <f>IF(AQ428="7",BI428,0)</f>
        <v>0</v>
      </c>
      <c r="AF428" s="35">
        <f>IF(AQ428="2",BH428,0)</f>
        <v>0</v>
      </c>
      <c r="AG428" s="35">
        <f>IF(AQ428="2",BI428,0)</f>
        <v>0</v>
      </c>
      <c r="AH428" s="35">
        <f>IF(AQ428="0",BJ428,0)</f>
        <v>0</v>
      </c>
      <c r="AI428" s="83" t="s">
        <v>65</v>
      </c>
      <c r="AJ428" s="65">
        <f>IF(AN428=0,L428,0)</f>
        <v>0</v>
      </c>
      <c r="AK428" s="65">
        <f>IF(AN428=15,L428,0)</f>
        <v>0</v>
      </c>
      <c r="AL428" s="65">
        <f>IF(AN428=21,L428,0)</f>
        <v>396</v>
      </c>
      <c r="AN428" s="35">
        <v>21</v>
      </c>
      <c r="AO428" s="35">
        <f>I428*1</f>
        <v>36</v>
      </c>
      <c r="AP428" s="35">
        <f>I428*(1-1)</f>
        <v>0</v>
      </c>
      <c r="AQ428" s="85" t="s">
        <v>144</v>
      </c>
      <c r="AV428" s="35">
        <f>AW428+AX428</f>
        <v>396</v>
      </c>
      <c r="AW428" s="35">
        <f>H428*AO428</f>
        <v>396</v>
      </c>
      <c r="AX428" s="35">
        <f>H428*AP428</f>
        <v>0</v>
      </c>
      <c r="AY428" s="86" t="s">
        <v>1043</v>
      </c>
      <c r="AZ428" s="86" t="s">
        <v>1066</v>
      </c>
      <c r="BA428" s="83" t="s">
        <v>1079</v>
      </c>
      <c r="BC428" s="35">
        <f>AW428+AX428</f>
        <v>396</v>
      </c>
      <c r="BD428" s="35">
        <f>I428/(100-BE428)*100</f>
        <v>36</v>
      </c>
      <c r="BE428" s="35">
        <v>0</v>
      </c>
      <c r="BF428" s="35">
        <f>428</f>
        <v>428</v>
      </c>
      <c r="BH428" s="65">
        <f>H428*AO428</f>
        <v>396</v>
      </c>
      <c r="BI428" s="65">
        <f>H428*AP428</f>
        <v>0</v>
      </c>
      <c r="BJ428" s="65">
        <f>H428*I428</f>
        <v>396</v>
      </c>
      <c r="BK428" s="65" t="s">
        <v>1001</v>
      </c>
      <c r="BL428" s="35">
        <v>724</v>
      </c>
    </row>
    <row r="429" spans="1:64" x14ac:dyDescent="0.2">
      <c r="A429" s="19"/>
      <c r="C429" s="59" t="s">
        <v>521</v>
      </c>
      <c r="D429" s="180" t="s">
        <v>876</v>
      </c>
      <c r="E429" s="181"/>
      <c r="F429" s="181"/>
      <c r="G429" s="181"/>
      <c r="H429" s="181"/>
      <c r="I429" s="182"/>
      <c r="J429" s="181"/>
      <c r="K429" s="181"/>
      <c r="L429" s="181"/>
      <c r="M429" s="183"/>
      <c r="N429" s="19"/>
    </row>
    <row r="430" spans="1:64" x14ac:dyDescent="0.2">
      <c r="A430" s="47" t="s">
        <v>333</v>
      </c>
      <c r="B430" s="55" t="s">
        <v>65</v>
      </c>
      <c r="C430" s="55" t="s">
        <v>555</v>
      </c>
      <c r="D430" s="178" t="s">
        <v>877</v>
      </c>
      <c r="E430" s="179"/>
      <c r="F430" s="179"/>
      <c r="G430" s="55" t="s">
        <v>1000</v>
      </c>
      <c r="H430" s="64">
        <v>31.280999999999999</v>
      </c>
      <c r="I430" s="71">
        <v>1</v>
      </c>
      <c r="J430" s="64">
        <f>H430*AO430</f>
        <v>0</v>
      </c>
      <c r="K430" s="64">
        <f>H430*AP430</f>
        <v>31.280999999999999</v>
      </c>
      <c r="L430" s="64">
        <f>H430*I430</f>
        <v>31.280999999999999</v>
      </c>
      <c r="M430" s="79" t="s">
        <v>1020</v>
      </c>
      <c r="N430" s="19"/>
      <c r="Z430" s="35">
        <f>IF(AQ430="5",BJ430,0)</f>
        <v>0</v>
      </c>
      <c r="AB430" s="35">
        <f>IF(AQ430="1",BH430,0)</f>
        <v>0</v>
      </c>
      <c r="AC430" s="35">
        <f>IF(AQ430="1",BI430,0)</f>
        <v>0</v>
      </c>
      <c r="AD430" s="35">
        <f>IF(AQ430="7",BH430,0)</f>
        <v>0</v>
      </c>
      <c r="AE430" s="35">
        <f>IF(AQ430="7",BI430,0)</f>
        <v>31.280999999999999</v>
      </c>
      <c r="AF430" s="35">
        <f>IF(AQ430="2",BH430,0)</f>
        <v>0</v>
      </c>
      <c r="AG430" s="35">
        <f>IF(AQ430="2",BI430,0)</f>
        <v>0</v>
      </c>
      <c r="AH430" s="35">
        <f>IF(AQ430="0",BJ430,0)</f>
        <v>0</v>
      </c>
      <c r="AI430" s="83" t="s">
        <v>65</v>
      </c>
      <c r="AJ430" s="64">
        <f>IF(AN430=0,L430,0)</f>
        <v>0</v>
      </c>
      <c r="AK430" s="64">
        <f>IF(AN430=15,L430,0)</f>
        <v>0</v>
      </c>
      <c r="AL430" s="64">
        <f>IF(AN430=21,L430,0)</f>
        <v>31.280999999999999</v>
      </c>
      <c r="AN430" s="35">
        <v>21</v>
      </c>
      <c r="AO430" s="35">
        <f>I430*0</f>
        <v>0</v>
      </c>
      <c r="AP430" s="35">
        <f>I430*(1-0)</f>
        <v>1</v>
      </c>
      <c r="AQ430" s="84" t="s">
        <v>144</v>
      </c>
      <c r="AV430" s="35">
        <f>AW430+AX430</f>
        <v>31.280999999999999</v>
      </c>
      <c r="AW430" s="35">
        <f>H430*AO430</f>
        <v>0</v>
      </c>
      <c r="AX430" s="35">
        <f>H430*AP430</f>
        <v>31.280999999999999</v>
      </c>
      <c r="AY430" s="86" t="s">
        <v>1043</v>
      </c>
      <c r="AZ430" s="86" t="s">
        <v>1066</v>
      </c>
      <c r="BA430" s="83" t="s">
        <v>1079</v>
      </c>
      <c r="BC430" s="35">
        <f>AW430+AX430</f>
        <v>31.280999999999999</v>
      </c>
      <c r="BD430" s="35">
        <f>I430/(100-BE430)*100</f>
        <v>1</v>
      </c>
      <c r="BE430" s="35">
        <v>0</v>
      </c>
      <c r="BF430" s="35">
        <f>430</f>
        <v>430</v>
      </c>
      <c r="BH430" s="64">
        <f>H430*AO430</f>
        <v>0</v>
      </c>
      <c r="BI430" s="64">
        <f>H430*AP430</f>
        <v>31.280999999999999</v>
      </c>
      <c r="BJ430" s="64">
        <f>H430*I430</f>
        <v>31.280999999999999</v>
      </c>
      <c r="BK430" s="64" t="s">
        <v>1086</v>
      </c>
      <c r="BL430" s="35">
        <v>724</v>
      </c>
    </row>
    <row r="431" spans="1:64" x14ac:dyDescent="0.2">
      <c r="A431" s="19"/>
      <c r="C431" s="59" t="s">
        <v>521</v>
      </c>
      <c r="D431" s="180" t="s">
        <v>878</v>
      </c>
      <c r="E431" s="181"/>
      <c r="F431" s="181"/>
      <c r="G431" s="181"/>
      <c r="H431" s="181"/>
      <c r="I431" s="182"/>
      <c r="J431" s="181"/>
      <c r="K431" s="181"/>
      <c r="L431" s="181"/>
      <c r="M431" s="183"/>
      <c r="N431" s="19"/>
    </row>
    <row r="432" spans="1:64" x14ac:dyDescent="0.2">
      <c r="A432" s="46"/>
      <c r="B432" s="54" t="s">
        <v>65</v>
      </c>
      <c r="C432" s="54" t="s">
        <v>115</v>
      </c>
      <c r="D432" s="176" t="s">
        <v>134</v>
      </c>
      <c r="E432" s="177"/>
      <c r="F432" s="177"/>
      <c r="G432" s="61" t="s">
        <v>60</v>
      </c>
      <c r="H432" s="61" t="s">
        <v>60</v>
      </c>
      <c r="I432" s="70" t="s">
        <v>60</v>
      </c>
      <c r="J432" s="89">
        <f>SUM(J433:J439)</f>
        <v>1182</v>
      </c>
      <c r="K432" s="89">
        <f>SUM(K433:K439)</f>
        <v>304.94</v>
      </c>
      <c r="L432" s="89">
        <f>SUM(L433:L439)</f>
        <v>1486.94</v>
      </c>
      <c r="M432" s="78"/>
      <c r="N432" s="19"/>
      <c r="AI432" s="83" t="s">
        <v>65</v>
      </c>
      <c r="AS432" s="89">
        <f>SUM(AJ433:AJ439)</f>
        <v>0</v>
      </c>
      <c r="AT432" s="89">
        <f>SUM(AK433:AK439)</f>
        <v>0</v>
      </c>
      <c r="AU432" s="89">
        <f>SUM(AL433:AL439)</f>
        <v>1486.94</v>
      </c>
    </row>
    <row r="433" spans="1:64" x14ac:dyDescent="0.2">
      <c r="A433" s="47" t="s">
        <v>334</v>
      </c>
      <c r="B433" s="55" t="s">
        <v>65</v>
      </c>
      <c r="C433" s="55" t="s">
        <v>556</v>
      </c>
      <c r="D433" s="178" t="s">
        <v>879</v>
      </c>
      <c r="E433" s="179"/>
      <c r="F433" s="179"/>
      <c r="G433" s="55" t="s">
        <v>1003</v>
      </c>
      <c r="H433" s="64">
        <v>2</v>
      </c>
      <c r="I433" s="71">
        <v>144</v>
      </c>
      <c r="J433" s="64">
        <f>H433*AO433</f>
        <v>0</v>
      </c>
      <c r="K433" s="64">
        <f>H433*AP433</f>
        <v>288</v>
      </c>
      <c r="L433" s="64">
        <f>H433*I433</f>
        <v>288</v>
      </c>
      <c r="M433" s="79"/>
      <c r="N433" s="19"/>
      <c r="Z433" s="35">
        <f>IF(AQ433="5",BJ433,0)</f>
        <v>0</v>
      </c>
      <c r="AB433" s="35">
        <f>IF(AQ433="1",BH433,0)</f>
        <v>0</v>
      </c>
      <c r="AC433" s="35">
        <f>IF(AQ433="1",BI433,0)</f>
        <v>0</v>
      </c>
      <c r="AD433" s="35">
        <f>IF(AQ433="7",BH433,0)</f>
        <v>0</v>
      </c>
      <c r="AE433" s="35">
        <f>IF(AQ433="7",BI433,0)</f>
        <v>288</v>
      </c>
      <c r="AF433" s="35">
        <f>IF(AQ433="2",BH433,0)</f>
        <v>0</v>
      </c>
      <c r="AG433" s="35">
        <f>IF(AQ433="2",BI433,0)</f>
        <v>0</v>
      </c>
      <c r="AH433" s="35">
        <f>IF(AQ433="0",BJ433,0)</f>
        <v>0</v>
      </c>
      <c r="AI433" s="83" t="s">
        <v>65</v>
      </c>
      <c r="AJ433" s="64">
        <f>IF(AN433=0,L433,0)</f>
        <v>0</v>
      </c>
      <c r="AK433" s="64">
        <f>IF(AN433=15,L433,0)</f>
        <v>0</v>
      </c>
      <c r="AL433" s="64">
        <f>IF(AN433=21,L433,0)</f>
        <v>288</v>
      </c>
      <c r="AN433" s="35">
        <v>21</v>
      </c>
      <c r="AO433" s="35">
        <f>I433*0</f>
        <v>0</v>
      </c>
      <c r="AP433" s="35">
        <f>I433*(1-0)</f>
        <v>144</v>
      </c>
      <c r="AQ433" s="84" t="s">
        <v>144</v>
      </c>
      <c r="AV433" s="35">
        <f>AW433+AX433</f>
        <v>288</v>
      </c>
      <c r="AW433" s="35">
        <f>H433*AO433</f>
        <v>0</v>
      </c>
      <c r="AX433" s="35">
        <f>H433*AP433</f>
        <v>288</v>
      </c>
      <c r="AY433" s="86" t="s">
        <v>1044</v>
      </c>
      <c r="AZ433" s="86" t="s">
        <v>1066</v>
      </c>
      <c r="BA433" s="83" t="s">
        <v>1079</v>
      </c>
      <c r="BC433" s="35">
        <f>AW433+AX433</f>
        <v>288</v>
      </c>
      <c r="BD433" s="35">
        <f>I433/(100-BE433)*100</f>
        <v>144</v>
      </c>
      <c r="BE433" s="35">
        <v>0</v>
      </c>
      <c r="BF433" s="35">
        <f>433</f>
        <v>433</v>
      </c>
      <c r="BH433" s="64">
        <f>H433*AO433</f>
        <v>0</v>
      </c>
      <c r="BI433" s="64">
        <f>H433*AP433</f>
        <v>288</v>
      </c>
      <c r="BJ433" s="64">
        <f>H433*I433</f>
        <v>288</v>
      </c>
      <c r="BK433" s="64" t="s">
        <v>1086</v>
      </c>
      <c r="BL433" s="35">
        <v>725</v>
      </c>
    </row>
    <row r="434" spans="1:64" x14ac:dyDescent="0.2">
      <c r="A434" s="19"/>
      <c r="C434" s="59" t="s">
        <v>521</v>
      </c>
      <c r="D434" s="180" t="s">
        <v>879</v>
      </c>
      <c r="E434" s="181"/>
      <c r="F434" s="181"/>
      <c r="G434" s="181"/>
      <c r="H434" s="181"/>
      <c r="I434" s="182"/>
      <c r="J434" s="181"/>
      <c r="K434" s="181"/>
      <c r="L434" s="181"/>
      <c r="M434" s="183"/>
      <c r="N434" s="19"/>
    </row>
    <row r="435" spans="1:64" x14ac:dyDescent="0.2">
      <c r="A435" s="49" t="s">
        <v>335</v>
      </c>
      <c r="B435" s="57" t="s">
        <v>65</v>
      </c>
      <c r="C435" s="57" t="s">
        <v>698</v>
      </c>
      <c r="D435" s="186" t="s">
        <v>880</v>
      </c>
      <c r="E435" s="187"/>
      <c r="F435" s="187"/>
      <c r="G435" s="57" t="s">
        <v>1004</v>
      </c>
      <c r="H435" s="65">
        <v>2</v>
      </c>
      <c r="I435" s="73">
        <v>466</v>
      </c>
      <c r="J435" s="65">
        <f>H435*AO435</f>
        <v>932</v>
      </c>
      <c r="K435" s="65">
        <f>H435*AP435</f>
        <v>0</v>
      </c>
      <c r="L435" s="65">
        <f>H435*I435</f>
        <v>932</v>
      </c>
      <c r="M435" s="81"/>
      <c r="N435" s="19"/>
      <c r="Z435" s="35">
        <f>IF(AQ435="5",BJ435,0)</f>
        <v>0</v>
      </c>
      <c r="AB435" s="35">
        <f>IF(AQ435="1",BH435,0)</f>
        <v>0</v>
      </c>
      <c r="AC435" s="35">
        <f>IF(AQ435="1",BI435,0)</f>
        <v>0</v>
      </c>
      <c r="AD435" s="35">
        <f>IF(AQ435="7",BH435,0)</f>
        <v>932</v>
      </c>
      <c r="AE435" s="35">
        <f>IF(AQ435="7",BI435,0)</f>
        <v>0</v>
      </c>
      <c r="AF435" s="35">
        <f>IF(AQ435="2",BH435,0)</f>
        <v>0</v>
      </c>
      <c r="AG435" s="35">
        <f>IF(AQ435="2",BI435,0)</f>
        <v>0</v>
      </c>
      <c r="AH435" s="35">
        <f>IF(AQ435="0",BJ435,0)</f>
        <v>0</v>
      </c>
      <c r="AI435" s="83" t="s">
        <v>65</v>
      </c>
      <c r="AJ435" s="65">
        <f>IF(AN435=0,L435,0)</f>
        <v>0</v>
      </c>
      <c r="AK435" s="65">
        <f>IF(AN435=15,L435,0)</f>
        <v>0</v>
      </c>
      <c r="AL435" s="65">
        <f>IF(AN435=21,L435,0)</f>
        <v>932</v>
      </c>
      <c r="AN435" s="35">
        <v>21</v>
      </c>
      <c r="AO435" s="35">
        <f>I435*1</f>
        <v>466</v>
      </c>
      <c r="AP435" s="35">
        <f>I435*(1-1)</f>
        <v>0</v>
      </c>
      <c r="AQ435" s="85" t="s">
        <v>144</v>
      </c>
      <c r="AV435" s="35">
        <f>AW435+AX435</f>
        <v>932</v>
      </c>
      <c r="AW435" s="35">
        <f>H435*AO435</f>
        <v>932</v>
      </c>
      <c r="AX435" s="35">
        <f>H435*AP435</f>
        <v>0</v>
      </c>
      <c r="AY435" s="86" t="s">
        <v>1044</v>
      </c>
      <c r="AZ435" s="86" t="s">
        <v>1066</v>
      </c>
      <c r="BA435" s="83" t="s">
        <v>1079</v>
      </c>
      <c r="BC435" s="35">
        <f>AW435+AX435</f>
        <v>932</v>
      </c>
      <c r="BD435" s="35">
        <f>I435/(100-BE435)*100</f>
        <v>466</v>
      </c>
      <c r="BE435" s="35">
        <v>0</v>
      </c>
      <c r="BF435" s="35">
        <f>435</f>
        <v>435</v>
      </c>
      <c r="BH435" s="65">
        <f>H435*AO435</f>
        <v>932</v>
      </c>
      <c r="BI435" s="65">
        <f>H435*AP435</f>
        <v>0</v>
      </c>
      <c r="BJ435" s="65">
        <f>H435*I435</f>
        <v>932</v>
      </c>
      <c r="BK435" s="65" t="s">
        <v>1001</v>
      </c>
      <c r="BL435" s="35">
        <v>725</v>
      </c>
    </row>
    <row r="436" spans="1:64" x14ac:dyDescent="0.2">
      <c r="A436" s="19"/>
      <c r="C436" s="59" t="s">
        <v>521</v>
      </c>
      <c r="D436" s="180" t="s">
        <v>880</v>
      </c>
      <c r="E436" s="181"/>
      <c r="F436" s="181"/>
      <c r="G436" s="181"/>
      <c r="H436" s="181"/>
      <c r="I436" s="182"/>
      <c r="J436" s="181"/>
      <c r="K436" s="181"/>
      <c r="L436" s="181"/>
      <c r="M436" s="183"/>
      <c r="N436" s="19"/>
    </row>
    <row r="437" spans="1:64" x14ac:dyDescent="0.2">
      <c r="A437" s="47" t="s">
        <v>336</v>
      </c>
      <c r="B437" s="55" t="s">
        <v>65</v>
      </c>
      <c r="C437" s="55" t="s">
        <v>559</v>
      </c>
      <c r="D437" s="178" t="s">
        <v>882</v>
      </c>
      <c r="E437" s="179"/>
      <c r="F437" s="179"/>
      <c r="G437" s="55" t="s">
        <v>1000</v>
      </c>
      <c r="H437" s="64">
        <v>16.940000000000001</v>
      </c>
      <c r="I437" s="71">
        <v>1</v>
      </c>
      <c r="J437" s="64">
        <f>H437*AO437</f>
        <v>0</v>
      </c>
      <c r="K437" s="64">
        <f>H437*AP437</f>
        <v>16.940000000000001</v>
      </c>
      <c r="L437" s="64">
        <f>H437*I437</f>
        <v>16.940000000000001</v>
      </c>
      <c r="M437" s="79" t="s">
        <v>1020</v>
      </c>
      <c r="N437" s="19"/>
      <c r="Z437" s="35">
        <f>IF(AQ437="5",BJ437,0)</f>
        <v>0</v>
      </c>
      <c r="AB437" s="35">
        <f>IF(AQ437="1",BH437,0)</f>
        <v>0</v>
      </c>
      <c r="AC437" s="35">
        <f>IF(AQ437="1",BI437,0)</f>
        <v>0</v>
      </c>
      <c r="AD437" s="35">
        <f>IF(AQ437="7",BH437,0)</f>
        <v>0</v>
      </c>
      <c r="AE437" s="35">
        <f>IF(AQ437="7",BI437,0)</f>
        <v>16.940000000000001</v>
      </c>
      <c r="AF437" s="35">
        <f>IF(AQ437="2",BH437,0)</f>
        <v>0</v>
      </c>
      <c r="AG437" s="35">
        <f>IF(AQ437="2",BI437,0)</f>
        <v>0</v>
      </c>
      <c r="AH437" s="35">
        <f>IF(AQ437="0",BJ437,0)</f>
        <v>0</v>
      </c>
      <c r="AI437" s="83" t="s">
        <v>65</v>
      </c>
      <c r="AJ437" s="64">
        <f>IF(AN437=0,L437,0)</f>
        <v>0</v>
      </c>
      <c r="AK437" s="64">
        <f>IF(AN437=15,L437,0)</f>
        <v>0</v>
      </c>
      <c r="AL437" s="64">
        <f>IF(AN437=21,L437,0)</f>
        <v>16.940000000000001</v>
      </c>
      <c r="AN437" s="35">
        <v>21</v>
      </c>
      <c r="AO437" s="35">
        <f>I437*0</f>
        <v>0</v>
      </c>
      <c r="AP437" s="35">
        <f>I437*(1-0)</f>
        <v>1</v>
      </c>
      <c r="AQ437" s="84" t="s">
        <v>144</v>
      </c>
      <c r="AV437" s="35">
        <f>AW437+AX437</f>
        <v>16.940000000000001</v>
      </c>
      <c r="AW437" s="35">
        <f>H437*AO437</f>
        <v>0</v>
      </c>
      <c r="AX437" s="35">
        <f>H437*AP437</f>
        <v>16.940000000000001</v>
      </c>
      <c r="AY437" s="86" t="s">
        <v>1044</v>
      </c>
      <c r="AZ437" s="86" t="s">
        <v>1066</v>
      </c>
      <c r="BA437" s="83" t="s">
        <v>1079</v>
      </c>
      <c r="BC437" s="35">
        <f>AW437+AX437</f>
        <v>16.940000000000001</v>
      </c>
      <c r="BD437" s="35">
        <f>I437/(100-BE437)*100</f>
        <v>1</v>
      </c>
      <c r="BE437" s="35">
        <v>0</v>
      </c>
      <c r="BF437" s="35">
        <f>437</f>
        <v>437</v>
      </c>
      <c r="BH437" s="64">
        <f>H437*AO437</f>
        <v>0</v>
      </c>
      <c r="BI437" s="64">
        <f>H437*AP437</f>
        <v>16.940000000000001</v>
      </c>
      <c r="BJ437" s="64">
        <f>H437*I437</f>
        <v>16.940000000000001</v>
      </c>
      <c r="BK437" s="64" t="s">
        <v>1086</v>
      </c>
      <c r="BL437" s="35">
        <v>725</v>
      </c>
    </row>
    <row r="438" spans="1:64" x14ac:dyDescent="0.2">
      <c r="A438" s="19"/>
      <c r="C438" s="59" t="s">
        <v>521</v>
      </c>
      <c r="D438" s="180" t="s">
        <v>883</v>
      </c>
      <c r="E438" s="181"/>
      <c r="F438" s="181"/>
      <c r="G438" s="181"/>
      <c r="H438" s="181"/>
      <c r="I438" s="182"/>
      <c r="J438" s="181"/>
      <c r="K438" s="181"/>
      <c r="L438" s="181"/>
      <c r="M438" s="183"/>
      <c r="N438" s="19"/>
    </row>
    <row r="439" spans="1:64" x14ac:dyDescent="0.2">
      <c r="A439" s="49" t="s">
        <v>337</v>
      </c>
      <c r="B439" s="57" t="s">
        <v>65</v>
      </c>
      <c r="C439" s="57" t="s">
        <v>699</v>
      </c>
      <c r="D439" s="186" t="s">
        <v>884</v>
      </c>
      <c r="E439" s="187"/>
      <c r="F439" s="187"/>
      <c r="G439" s="57" t="s">
        <v>1001</v>
      </c>
      <c r="H439" s="65">
        <v>5</v>
      </c>
      <c r="I439" s="73">
        <v>50</v>
      </c>
      <c r="J439" s="65">
        <f>H439*AO439</f>
        <v>250</v>
      </c>
      <c r="K439" s="65">
        <f>H439*AP439</f>
        <v>0</v>
      </c>
      <c r="L439" s="65">
        <f>H439*I439</f>
        <v>250</v>
      </c>
      <c r="M439" s="81"/>
      <c r="N439" s="19"/>
      <c r="Z439" s="35">
        <f>IF(AQ439="5",BJ439,0)</f>
        <v>0</v>
      </c>
      <c r="AB439" s="35">
        <f>IF(AQ439="1",BH439,0)</f>
        <v>0</v>
      </c>
      <c r="AC439" s="35">
        <f>IF(AQ439="1",BI439,0)</f>
        <v>0</v>
      </c>
      <c r="AD439" s="35">
        <f>IF(AQ439="7",BH439,0)</f>
        <v>250</v>
      </c>
      <c r="AE439" s="35">
        <f>IF(AQ439="7",BI439,0)</f>
        <v>0</v>
      </c>
      <c r="AF439" s="35">
        <f>IF(AQ439="2",BH439,0)</f>
        <v>0</v>
      </c>
      <c r="AG439" s="35">
        <f>IF(AQ439="2",BI439,0)</f>
        <v>0</v>
      </c>
      <c r="AH439" s="35">
        <f>IF(AQ439="0",BJ439,0)</f>
        <v>0</v>
      </c>
      <c r="AI439" s="83" t="s">
        <v>65</v>
      </c>
      <c r="AJ439" s="65">
        <f>IF(AN439=0,L439,0)</f>
        <v>0</v>
      </c>
      <c r="AK439" s="65">
        <f>IF(AN439=15,L439,0)</f>
        <v>0</v>
      </c>
      <c r="AL439" s="65">
        <f>IF(AN439=21,L439,0)</f>
        <v>250</v>
      </c>
      <c r="AN439" s="35">
        <v>21</v>
      </c>
      <c r="AO439" s="35">
        <f>I439*1</f>
        <v>50</v>
      </c>
      <c r="AP439" s="35">
        <f>I439*(1-1)</f>
        <v>0</v>
      </c>
      <c r="AQ439" s="85" t="s">
        <v>144</v>
      </c>
      <c r="AV439" s="35">
        <f>AW439+AX439</f>
        <v>250</v>
      </c>
      <c r="AW439" s="35">
        <f>H439*AO439</f>
        <v>250</v>
      </c>
      <c r="AX439" s="35">
        <f>H439*AP439</f>
        <v>0</v>
      </c>
      <c r="AY439" s="86" t="s">
        <v>1044</v>
      </c>
      <c r="AZ439" s="86" t="s">
        <v>1066</v>
      </c>
      <c r="BA439" s="83" t="s">
        <v>1079</v>
      </c>
      <c r="BC439" s="35">
        <f>AW439+AX439</f>
        <v>250</v>
      </c>
      <c r="BD439" s="35">
        <f>I439/(100-BE439)*100</f>
        <v>50</v>
      </c>
      <c r="BE439" s="35">
        <v>0</v>
      </c>
      <c r="BF439" s="35">
        <f>439</f>
        <v>439</v>
      </c>
      <c r="BH439" s="65">
        <f>H439*AO439</f>
        <v>250</v>
      </c>
      <c r="BI439" s="65">
        <f>H439*AP439</f>
        <v>0</v>
      </c>
      <c r="BJ439" s="65">
        <f>H439*I439</f>
        <v>250</v>
      </c>
      <c r="BK439" s="65" t="s">
        <v>1001</v>
      </c>
      <c r="BL439" s="35">
        <v>725</v>
      </c>
    </row>
    <row r="440" spans="1:64" x14ac:dyDescent="0.2">
      <c r="A440" s="19"/>
      <c r="C440" s="59" t="s">
        <v>521</v>
      </c>
      <c r="D440" s="180" t="s">
        <v>884</v>
      </c>
      <c r="E440" s="181"/>
      <c r="F440" s="181"/>
      <c r="G440" s="181"/>
      <c r="H440" s="181"/>
      <c r="I440" s="182"/>
      <c r="J440" s="181"/>
      <c r="K440" s="181"/>
      <c r="L440" s="181"/>
      <c r="M440" s="183"/>
      <c r="N440" s="19"/>
    </row>
    <row r="441" spans="1:64" x14ac:dyDescent="0.2">
      <c r="A441" s="46"/>
      <c r="B441" s="54" t="s">
        <v>65</v>
      </c>
      <c r="C441" s="54" t="s">
        <v>116</v>
      </c>
      <c r="D441" s="176" t="s">
        <v>135</v>
      </c>
      <c r="E441" s="177"/>
      <c r="F441" s="177"/>
      <c r="G441" s="61" t="s">
        <v>60</v>
      </c>
      <c r="H441" s="61" t="s">
        <v>60</v>
      </c>
      <c r="I441" s="70" t="s">
        <v>60</v>
      </c>
      <c r="J441" s="89">
        <f>SUM(J442:J466)</f>
        <v>172565</v>
      </c>
      <c r="K441" s="89">
        <f>SUM(K442:K466)</f>
        <v>6366.92</v>
      </c>
      <c r="L441" s="89">
        <f>SUM(L442:L466)</f>
        <v>178931.92</v>
      </c>
      <c r="M441" s="78"/>
      <c r="N441" s="19"/>
      <c r="AI441" s="83" t="s">
        <v>65</v>
      </c>
      <c r="AS441" s="89">
        <f>SUM(AJ442:AJ466)</f>
        <v>0</v>
      </c>
      <c r="AT441" s="89">
        <f>SUM(AK442:AK466)</f>
        <v>0</v>
      </c>
      <c r="AU441" s="89">
        <f>SUM(AL442:AL466)</f>
        <v>178931.92</v>
      </c>
    </row>
    <row r="442" spans="1:64" x14ac:dyDescent="0.2">
      <c r="A442" s="47" t="s">
        <v>338</v>
      </c>
      <c r="B442" s="55" t="s">
        <v>65</v>
      </c>
      <c r="C442" s="55" t="s">
        <v>700</v>
      </c>
      <c r="D442" s="178" t="s">
        <v>885</v>
      </c>
      <c r="E442" s="179"/>
      <c r="F442" s="179"/>
      <c r="G442" s="55" t="s">
        <v>1002</v>
      </c>
      <c r="H442" s="64">
        <v>1</v>
      </c>
      <c r="I442" s="71">
        <v>504</v>
      </c>
      <c r="J442" s="64">
        <f>H442*AO442</f>
        <v>0</v>
      </c>
      <c r="K442" s="64">
        <f>H442*AP442</f>
        <v>504</v>
      </c>
      <c r="L442" s="64">
        <f>H442*I442</f>
        <v>504</v>
      </c>
      <c r="M442" s="79"/>
      <c r="N442" s="19"/>
      <c r="Z442" s="35">
        <f>IF(AQ442="5",BJ442,0)</f>
        <v>0</v>
      </c>
      <c r="AB442" s="35">
        <f>IF(AQ442="1",BH442,0)</f>
        <v>0</v>
      </c>
      <c r="AC442" s="35">
        <f>IF(AQ442="1",BI442,0)</f>
        <v>0</v>
      </c>
      <c r="AD442" s="35">
        <f>IF(AQ442="7",BH442,0)</f>
        <v>0</v>
      </c>
      <c r="AE442" s="35">
        <f>IF(AQ442="7",BI442,0)</f>
        <v>504</v>
      </c>
      <c r="AF442" s="35">
        <f>IF(AQ442="2",BH442,0)</f>
        <v>0</v>
      </c>
      <c r="AG442" s="35">
        <f>IF(AQ442="2",BI442,0)</f>
        <v>0</v>
      </c>
      <c r="AH442" s="35">
        <f>IF(AQ442="0",BJ442,0)</f>
        <v>0</v>
      </c>
      <c r="AI442" s="83" t="s">
        <v>65</v>
      </c>
      <c r="AJ442" s="64">
        <f>IF(AN442=0,L442,0)</f>
        <v>0</v>
      </c>
      <c r="AK442" s="64">
        <f>IF(AN442=15,L442,0)</f>
        <v>0</v>
      </c>
      <c r="AL442" s="64">
        <f>IF(AN442=21,L442,0)</f>
        <v>504</v>
      </c>
      <c r="AN442" s="35">
        <v>21</v>
      </c>
      <c r="AO442" s="35">
        <f>I442*0</f>
        <v>0</v>
      </c>
      <c r="AP442" s="35">
        <f>I442*(1-0)</f>
        <v>504</v>
      </c>
      <c r="AQ442" s="84" t="s">
        <v>144</v>
      </c>
      <c r="AV442" s="35">
        <f>AW442+AX442</f>
        <v>504</v>
      </c>
      <c r="AW442" s="35">
        <f>H442*AO442</f>
        <v>0</v>
      </c>
      <c r="AX442" s="35">
        <f>H442*AP442</f>
        <v>504</v>
      </c>
      <c r="AY442" s="86" t="s">
        <v>1045</v>
      </c>
      <c r="AZ442" s="86" t="s">
        <v>1067</v>
      </c>
      <c r="BA442" s="83" t="s">
        <v>1079</v>
      </c>
      <c r="BC442" s="35">
        <f>AW442+AX442</f>
        <v>504</v>
      </c>
      <c r="BD442" s="35">
        <f>I442/(100-BE442)*100</f>
        <v>504</v>
      </c>
      <c r="BE442" s="35">
        <v>0</v>
      </c>
      <c r="BF442" s="35">
        <f>442</f>
        <v>442</v>
      </c>
      <c r="BH442" s="64">
        <f>H442*AO442</f>
        <v>0</v>
      </c>
      <c r="BI442" s="64">
        <f>H442*AP442</f>
        <v>504</v>
      </c>
      <c r="BJ442" s="64">
        <f>H442*I442</f>
        <v>504</v>
      </c>
      <c r="BK442" s="64" t="s">
        <v>1086</v>
      </c>
      <c r="BL442" s="35">
        <v>741</v>
      </c>
    </row>
    <row r="443" spans="1:64" x14ac:dyDescent="0.2">
      <c r="A443" s="19"/>
      <c r="C443" s="59" t="s">
        <v>521</v>
      </c>
      <c r="D443" s="180" t="s">
        <v>885</v>
      </c>
      <c r="E443" s="181"/>
      <c r="F443" s="181"/>
      <c r="G443" s="181"/>
      <c r="H443" s="181"/>
      <c r="I443" s="182"/>
      <c r="J443" s="181"/>
      <c r="K443" s="181"/>
      <c r="L443" s="181"/>
      <c r="M443" s="183"/>
      <c r="N443" s="19"/>
    </row>
    <row r="444" spans="1:64" x14ac:dyDescent="0.2">
      <c r="A444" s="49" t="s">
        <v>339</v>
      </c>
      <c r="B444" s="57" t="s">
        <v>65</v>
      </c>
      <c r="C444" s="57" t="s">
        <v>701</v>
      </c>
      <c r="D444" s="186" t="s">
        <v>886</v>
      </c>
      <c r="E444" s="187"/>
      <c r="F444" s="187"/>
      <c r="G444" s="57" t="s">
        <v>1004</v>
      </c>
      <c r="H444" s="65">
        <v>1</v>
      </c>
      <c r="I444" s="73">
        <v>5760</v>
      </c>
      <c r="J444" s="65">
        <f>H444*AO444</f>
        <v>5760</v>
      </c>
      <c r="K444" s="65">
        <f>H444*AP444</f>
        <v>0</v>
      </c>
      <c r="L444" s="65">
        <f>H444*I444</f>
        <v>5760</v>
      </c>
      <c r="M444" s="81"/>
      <c r="N444" s="19"/>
      <c r="Z444" s="35">
        <f>IF(AQ444="5",BJ444,0)</f>
        <v>0</v>
      </c>
      <c r="AB444" s="35">
        <f>IF(AQ444="1",BH444,0)</f>
        <v>0</v>
      </c>
      <c r="AC444" s="35">
        <f>IF(AQ444="1",BI444,0)</f>
        <v>0</v>
      </c>
      <c r="AD444" s="35">
        <f>IF(AQ444="7",BH444,0)</f>
        <v>5760</v>
      </c>
      <c r="AE444" s="35">
        <f>IF(AQ444="7",BI444,0)</f>
        <v>0</v>
      </c>
      <c r="AF444" s="35">
        <f>IF(AQ444="2",BH444,0)</f>
        <v>0</v>
      </c>
      <c r="AG444" s="35">
        <f>IF(AQ444="2",BI444,0)</f>
        <v>0</v>
      </c>
      <c r="AH444" s="35">
        <f>IF(AQ444="0",BJ444,0)</f>
        <v>0</v>
      </c>
      <c r="AI444" s="83" t="s">
        <v>65</v>
      </c>
      <c r="AJ444" s="65">
        <f>IF(AN444=0,L444,0)</f>
        <v>0</v>
      </c>
      <c r="AK444" s="65">
        <f>IF(AN444=15,L444,0)</f>
        <v>0</v>
      </c>
      <c r="AL444" s="65">
        <f>IF(AN444=21,L444,0)</f>
        <v>5760</v>
      </c>
      <c r="AN444" s="35">
        <v>21</v>
      </c>
      <c r="AO444" s="35">
        <f>I444*1</f>
        <v>5760</v>
      </c>
      <c r="AP444" s="35">
        <f>I444*(1-1)</f>
        <v>0</v>
      </c>
      <c r="AQ444" s="85" t="s">
        <v>144</v>
      </c>
      <c r="AV444" s="35">
        <f>AW444+AX444</f>
        <v>5760</v>
      </c>
      <c r="AW444" s="35">
        <f>H444*AO444</f>
        <v>5760</v>
      </c>
      <c r="AX444" s="35">
        <f>H444*AP444</f>
        <v>0</v>
      </c>
      <c r="AY444" s="86" t="s">
        <v>1045</v>
      </c>
      <c r="AZ444" s="86" t="s">
        <v>1067</v>
      </c>
      <c r="BA444" s="83" t="s">
        <v>1079</v>
      </c>
      <c r="BC444" s="35">
        <f>AW444+AX444</f>
        <v>5760</v>
      </c>
      <c r="BD444" s="35">
        <f>I444/(100-BE444)*100</f>
        <v>5760</v>
      </c>
      <c r="BE444" s="35">
        <v>0</v>
      </c>
      <c r="BF444" s="35">
        <f>444</f>
        <v>444</v>
      </c>
      <c r="BH444" s="65">
        <f>H444*AO444</f>
        <v>5760</v>
      </c>
      <c r="BI444" s="65">
        <f>H444*AP444</f>
        <v>0</v>
      </c>
      <c r="BJ444" s="65">
        <f>H444*I444</f>
        <v>5760</v>
      </c>
      <c r="BK444" s="65" t="s">
        <v>1001</v>
      </c>
      <c r="BL444" s="35">
        <v>741</v>
      </c>
    </row>
    <row r="445" spans="1:64" x14ac:dyDescent="0.2">
      <c r="A445" s="19"/>
      <c r="C445" s="59" t="s">
        <v>521</v>
      </c>
      <c r="D445" s="180" t="s">
        <v>886</v>
      </c>
      <c r="E445" s="181"/>
      <c r="F445" s="181"/>
      <c r="G445" s="181"/>
      <c r="H445" s="181"/>
      <c r="I445" s="182"/>
      <c r="J445" s="181"/>
      <c r="K445" s="181"/>
      <c r="L445" s="181"/>
      <c r="M445" s="183"/>
      <c r="N445" s="19"/>
    </row>
    <row r="446" spans="1:64" x14ac:dyDescent="0.2">
      <c r="A446" s="47" t="s">
        <v>340</v>
      </c>
      <c r="B446" s="55" t="s">
        <v>65</v>
      </c>
      <c r="C446" s="55" t="s">
        <v>702</v>
      </c>
      <c r="D446" s="178" t="s">
        <v>887</v>
      </c>
      <c r="E446" s="179"/>
      <c r="F446" s="179"/>
      <c r="G446" s="55" t="s">
        <v>1002</v>
      </c>
      <c r="H446" s="64">
        <v>1</v>
      </c>
      <c r="I446" s="71">
        <v>396</v>
      </c>
      <c r="J446" s="64">
        <f>H446*AO446</f>
        <v>0</v>
      </c>
      <c r="K446" s="64">
        <f>H446*AP446</f>
        <v>396</v>
      </c>
      <c r="L446" s="64">
        <f>H446*I446</f>
        <v>396</v>
      </c>
      <c r="M446" s="79"/>
      <c r="N446" s="19"/>
      <c r="Z446" s="35">
        <f>IF(AQ446="5",BJ446,0)</f>
        <v>0</v>
      </c>
      <c r="AB446" s="35">
        <f>IF(AQ446="1",BH446,0)</f>
        <v>0</v>
      </c>
      <c r="AC446" s="35">
        <f>IF(AQ446="1",BI446,0)</f>
        <v>0</v>
      </c>
      <c r="AD446" s="35">
        <f>IF(AQ446="7",BH446,0)</f>
        <v>0</v>
      </c>
      <c r="AE446" s="35">
        <f>IF(AQ446="7",BI446,0)</f>
        <v>396</v>
      </c>
      <c r="AF446" s="35">
        <f>IF(AQ446="2",BH446,0)</f>
        <v>0</v>
      </c>
      <c r="AG446" s="35">
        <f>IF(AQ446="2",BI446,0)</f>
        <v>0</v>
      </c>
      <c r="AH446" s="35">
        <f>IF(AQ446="0",BJ446,0)</f>
        <v>0</v>
      </c>
      <c r="AI446" s="83" t="s">
        <v>65</v>
      </c>
      <c r="AJ446" s="64">
        <f>IF(AN446=0,L446,0)</f>
        <v>0</v>
      </c>
      <c r="AK446" s="64">
        <f>IF(AN446=15,L446,0)</f>
        <v>0</v>
      </c>
      <c r="AL446" s="64">
        <f>IF(AN446=21,L446,0)</f>
        <v>396</v>
      </c>
      <c r="AN446" s="35">
        <v>21</v>
      </c>
      <c r="AO446" s="35">
        <f>I446*0</f>
        <v>0</v>
      </c>
      <c r="AP446" s="35">
        <f>I446*(1-0)</f>
        <v>396</v>
      </c>
      <c r="AQ446" s="84" t="s">
        <v>144</v>
      </c>
      <c r="AV446" s="35">
        <f>AW446+AX446</f>
        <v>396</v>
      </c>
      <c r="AW446" s="35">
        <f>H446*AO446</f>
        <v>0</v>
      </c>
      <c r="AX446" s="35">
        <f>H446*AP446</f>
        <v>396</v>
      </c>
      <c r="AY446" s="86" t="s">
        <v>1045</v>
      </c>
      <c r="AZ446" s="86" t="s">
        <v>1067</v>
      </c>
      <c r="BA446" s="83" t="s">
        <v>1079</v>
      </c>
      <c r="BC446" s="35">
        <f>AW446+AX446</f>
        <v>396</v>
      </c>
      <c r="BD446" s="35">
        <f>I446/(100-BE446)*100</f>
        <v>396</v>
      </c>
      <c r="BE446" s="35">
        <v>0</v>
      </c>
      <c r="BF446" s="35">
        <f>446</f>
        <v>446</v>
      </c>
      <c r="BH446" s="64">
        <f>H446*AO446</f>
        <v>0</v>
      </c>
      <c r="BI446" s="64">
        <f>H446*AP446</f>
        <v>396</v>
      </c>
      <c r="BJ446" s="64">
        <f>H446*I446</f>
        <v>396</v>
      </c>
      <c r="BK446" s="64" t="s">
        <v>1086</v>
      </c>
      <c r="BL446" s="35">
        <v>741</v>
      </c>
    </row>
    <row r="447" spans="1:64" x14ac:dyDescent="0.2">
      <c r="A447" s="19"/>
      <c r="C447" s="59" t="s">
        <v>521</v>
      </c>
      <c r="D447" s="180" t="s">
        <v>887</v>
      </c>
      <c r="E447" s="181"/>
      <c r="F447" s="181"/>
      <c r="G447" s="181"/>
      <c r="H447" s="181"/>
      <c r="I447" s="182"/>
      <c r="J447" s="181"/>
      <c r="K447" s="181"/>
      <c r="L447" s="181"/>
      <c r="M447" s="183"/>
      <c r="N447" s="19"/>
    </row>
    <row r="448" spans="1:64" x14ac:dyDescent="0.2">
      <c r="A448" s="49" t="s">
        <v>341</v>
      </c>
      <c r="B448" s="57" t="s">
        <v>65</v>
      </c>
      <c r="C448" s="57" t="s">
        <v>703</v>
      </c>
      <c r="D448" s="186" t="s">
        <v>888</v>
      </c>
      <c r="E448" s="187"/>
      <c r="F448" s="187"/>
      <c r="G448" s="57" t="s">
        <v>1001</v>
      </c>
      <c r="H448" s="65">
        <v>5</v>
      </c>
      <c r="I448" s="73">
        <v>7</v>
      </c>
      <c r="J448" s="65">
        <f>H448*AO448</f>
        <v>35</v>
      </c>
      <c r="K448" s="65">
        <f>H448*AP448</f>
        <v>0</v>
      </c>
      <c r="L448" s="65">
        <f>H448*I448</f>
        <v>35</v>
      </c>
      <c r="M448" s="81"/>
      <c r="N448" s="19"/>
      <c r="Z448" s="35">
        <f>IF(AQ448="5",BJ448,0)</f>
        <v>0</v>
      </c>
      <c r="AB448" s="35">
        <f>IF(AQ448="1",BH448,0)</f>
        <v>0</v>
      </c>
      <c r="AC448" s="35">
        <f>IF(AQ448="1",BI448,0)</f>
        <v>0</v>
      </c>
      <c r="AD448" s="35">
        <f>IF(AQ448="7",BH448,0)</f>
        <v>35</v>
      </c>
      <c r="AE448" s="35">
        <f>IF(AQ448="7",BI448,0)</f>
        <v>0</v>
      </c>
      <c r="AF448" s="35">
        <f>IF(AQ448="2",BH448,0)</f>
        <v>0</v>
      </c>
      <c r="AG448" s="35">
        <f>IF(AQ448="2",BI448,0)</f>
        <v>0</v>
      </c>
      <c r="AH448" s="35">
        <f>IF(AQ448="0",BJ448,0)</f>
        <v>0</v>
      </c>
      <c r="AI448" s="83" t="s">
        <v>65</v>
      </c>
      <c r="AJ448" s="65">
        <f>IF(AN448=0,L448,0)</f>
        <v>0</v>
      </c>
      <c r="AK448" s="65">
        <f>IF(AN448=15,L448,0)</f>
        <v>0</v>
      </c>
      <c r="AL448" s="65">
        <f>IF(AN448=21,L448,0)</f>
        <v>35</v>
      </c>
      <c r="AN448" s="35">
        <v>21</v>
      </c>
      <c r="AO448" s="35">
        <f>I448*1</f>
        <v>7</v>
      </c>
      <c r="AP448" s="35">
        <f>I448*(1-1)</f>
        <v>0</v>
      </c>
      <c r="AQ448" s="85" t="s">
        <v>144</v>
      </c>
      <c r="AV448" s="35">
        <f>AW448+AX448</f>
        <v>35</v>
      </c>
      <c r="AW448" s="35">
        <f>H448*AO448</f>
        <v>35</v>
      </c>
      <c r="AX448" s="35">
        <f>H448*AP448</f>
        <v>0</v>
      </c>
      <c r="AY448" s="86" t="s">
        <v>1045</v>
      </c>
      <c r="AZ448" s="86" t="s">
        <v>1067</v>
      </c>
      <c r="BA448" s="83" t="s">
        <v>1079</v>
      </c>
      <c r="BC448" s="35">
        <f>AW448+AX448</f>
        <v>35</v>
      </c>
      <c r="BD448" s="35">
        <f>I448/(100-BE448)*100</f>
        <v>7.0000000000000009</v>
      </c>
      <c r="BE448" s="35">
        <v>0</v>
      </c>
      <c r="BF448" s="35">
        <f>448</f>
        <v>448</v>
      </c>
      <c r="BH448" s="65">
        <f>H448*AO448</f>
        <v>35</v>
      </c>
      <c r="BI448" s="65">
        <f>H448*AP448</f>
        <v>0</v>
      </c>
      <c r="BJ448" s="65">
        <f>H448*I448</f>
        <v>35</v>
      </c>
      <c r="BK448" s="65" t="s">
        <v>1001</v>
      </c>
      <c r="BL448" s="35">
        <v>741</v>
      </c>
    </row>
    <row r="449" spans="1:64" x14ac:dyDescent="0.2">
      <c r="A449" s="19"/>
      <c r="C449" s="59" t="s">
        <v>521</v>
      </c>
      <c r="D449" s="180" t="s">
        <v>888</v>
      </c>
      <c r="E449" s="181"/>
      <c r="F449" s="181"/>
      <c r="G449" s="181"/>
      <c r="H449" s="181"/>
      <c r="I449" s="182"/>
      <c r="J449" s="181"/>
      <c r="K449" s="181"/>
      <c r="L449" s="181"/>
      <c r="M449" s="183"/>
      <c r="N449" s="19"/>
    </row>
    <row r="450" spans="1:64" x14ac:dyDescent="0.2">
      <c r="A450" s="47" t="s">
        <v>342</v>
      </c>
      <c r="B450" s="55" t="s">
        <v>65</v>
      </c>
      <c r="C450" s="55" t="s">
        <v>704</v>
      </c>
      <c r="D450" s="178" t="s">
        <v>881</v>
      </c>
      <c r="E450" s="179"/>
      <c r="F450" s="179"/>
      <c r="G450" s="55" t="s">
        <v>1002</v>
      </c>
      <c r="H450" s="64">
        <v>5</v>
      </c>
      <c r="I450" s="71">
        <v>504</v>
      </c>
      <c r="J450" s="64">
        <f>H450*AO450</f>
        <v>0</v>
      </c>
      <c r="K450" s="64">
        <f>H450*AP450</f>
        <v>2520</v>
      </c>
      <c r="L450" s="64">
        <f>H450*I450</f>
        <v>2520</v>
      </c>
      <c r="M450" s="79"/>
      <c r="N450" s="19"/>
      <c r="Z450" s="35">
        <f>IF(AQ450="5",BJ450,0)</f>
        <v>0</v>
      </c>
      <c r="AB450" s="35">
        <f>IF(AQ450="1",BH450,0)</f>
        <v>0</v>
      </c>
      <c r="AC450" s="35">
        <f>IF(AQ450="1",BI450,0)</f>
        <v>0</v>
      </c>
      <c r="AD450" s="35">
        <f>IF(AQ450="7",BH450,0)</f>
        <v>0</v>
      </c>
      <c r="AE450" s="35">
        <f>IF(AQ450="7",BI450,0)</f>
        <v>2520</v>
      </c>
      <c r="AF450" s="35">
        <f>IF(AQ450="2",BH450,0)</f>
        <v>0</v>
      </c>
      <c r="AG450" s="35">
        <f>IF(AQ450="2",BI450,0)</f>
        <v>0</v>
      </c>
      <c r="AH450" s="35">
        <f>IF(AQ450="0",BJ450,0)</f>
        <v>0</v>
      </c>
      <c r="AI450" s="83" t="s">
        <v>65</v>
      </c>
      <c r="AJ450" s="64">
        <f>IF(AN450=0,L450,0)</f>
        <v>0</v>
      </c>
      <c r="AK450" s="64">
        <f>IF(AN450=15,L450,0)</f>
        <v>0</v>
      </c>
      <c r="AL450" s="64">
        <f>IF(AN450=21,L450,0)</f>
        <v>2520</v>
      </c>
      <c r="AN450" s="35">
        <v>21</v>
      </c>
      <c r="AO450" s="35">
        <f>I450*0</f>
        <v>0</v>
      </c>
      <c r="AP450" s="35">
        <f>I450*(1-0)</f>
        <v>504</v>
      </c>
      <c r="AQ450" s="84" t="s">
        <v>144</v>
      </c>
      <c r="AV450" s="35">
        <f>AW450+AX450</f>
        <v>2520</v>
      </c>
      <c r="AW450" s="35">
        <f>H450*AO450</f>
        <v>0</v>
      </c>
      <c r="AX450" s="35">
        <f>H450*AP450</f>
        <v>2520</v>
      </c>
      <c r="AY450" s="86" t="s">
        <v>1045</v>
      </c>
      <c r="AZ450" s="86" t="s">
        <v>1067</v>
      </c>
      <c r="BA450" s="83" t="s">
        <v>1079</v>
      </c>
      <c r="BC450" s="35">
        <f>AW450+AX450</f>
        <v>2520</v>
      </c>
      <c r="BD450" s="35">
        <f>I450/(100-BE450)*100</f>
        <v>504</v>
      </c>
      <c r="BE450" s="35">
        <v>0</v>
      </c>
      <c r="BF450" s="35">
        <f>450</f>
        <v>450</v>
      </c>
      <c r="BH450" s="64">
        <f>H450*AO450</f>
        <v>0</v>
      </c>
      <c r="BI450" s="64">
        <f>H450*AP450</f>
        <v>2520</v>
      </c>
      <c r="BJ450" s="64">
        <f>H450*I450</f>
        <v>2520</v>
      </c>
      <c r="BK450" s="64" t="s">
        <v>1086</v>
      </c>
      <c r="BL450" s="35">
        <v>741</v>
      </c>
    </row>
    <row r="451" spans="1:64" x14ac:dyDescent="0.2">
      <c r="A451" s="19"/>
      <c r="C451" s="59" t="s">
        <v>521</v>
      </c>
      <c r="D451" s="180" t="s">
        <v>881</v>
      </c>
      <c r="E451" s="181"/>
      <c r="F451" s="181"/>
      <c r="G451" s="181"/>
      <c r="H451" s="181"/>
      <c r="I451" s="182"/>
      <c r="J451" s="181"/>
      <c r="K451" s="181"/>
      <c r="L451" s="181"/>
      <c r="M451" s="183"/>
      <c r="N451" s="19"/>
    </row>
    <row r="452" spans="1:64" x14ac:dyDescent="0.2">
      <c r="A452" s="49" t="s">
        <v>343</v>
      </c>
      <c r="B452" s="57" t="s">
        <v>65</v>
      </c>
      <c r="C452" s="57" t="s">
        <v>705</v>
      </c>
      <c r="D452" s="186" t="s">
        <v>889</v>
      </c>
      <c r="E452" s="187"/>
      <c r="F452" s="187"/>
      <c r="G452" s="57" t="s">
        <v>1005</v>
      </c>
      <c r="H452" s="65">
        <v>4</v>
      </c>
      <c r="I452" s="73">
        <v>9</v>
      </c>
      <c r="J452" s="65">
        <f>H452*AO452</f>
        <v>36</v>
      </c>
      <c r="K452" s="65">
        <f>H452*AP452</f>
        <v>0</v>
      </c>
      <c r="L452" s="65">
        <f>H452*I452</f>
        <v>36</v>
      </c>
      <c r="M452" s="81"/>
      <c r="N452" s="19"/>
      <c r="Z452" s="35">
        <f>IF(AQ452="5",BJ452,0)</f>
        <v>0</v>
      </c>
      <c r="AB452" s="35">
        <f>IF(AQ452="1",BH452,0)</f>
        <v>0</v>
      </c>
      <c r="AC452" s="35">
        <f>IF(AQ452="1",BI452,0)</f>
        <v>0</v>
      </c>
      <c r="AD452" s="35">
        <f>IF(AQ452="7",BH452,0)</f>
        <v>36</v>
      </c>
      <c r="AE452" s="35">
        <f>IF(AQ452="7",BI452,0)</f>
        <v>0</v>
      </c>
      <c r="AF452" s="35">
        <f>IF(AQ452="2",BH452,0)</f>
        <v>0</v>
      </c>
      <c r="AG452" s="35">
        <f>IF(AQ452="2",BI452,0)</f>
        <v>0</v>
      </c>
      <c r="AH452" s="35">
        <f>IF(AQ452="0",BJ452,0)</f>
        <v>0</v>
      </c>
      <c r="AI452" s="83" t="s">
        <v>65</v>
      </c>
      <c r="AJ452" s="65">
        <f>IF(AN452=0,L452,0)</f>
        <v>0</v>
      </c>
      <c r="AK452" s="65">
        <f>IF(AN452=15,L452,0)</f>
        <v>0</v>
      </c>
      <c r="AL452" s="65">
        <f>IF(AN452=21,L452,0)</f>
        <v>36</v>
      </c>
      <c r="AN452" s="35">
        <v>21</v>
      </c>
      <c r="AO452" s="35">
        <f>I452*1</f>
        <v>9</v>
      </c>
      <c r="AP452" s="35">
        <f>I452*(1-1)</f>
        <v>0</v>
      </c>
      <c r="AQ452" s="85" t="s">
        <v>144</v>
      </c>
      <c r="AV452" s="35">
        <f>AW452+AX452</f>
        <v>36</v>
      </c>
      <c r="AW452" s="35">
        <f>H452*AO452</f>
        <v>36</v>
      </c>
      <c r="AX452" s="35">
        <f>H452*AP452</f>
        <v>0</v>
      </c>
      <c r="AY452" s="86" t="s">
        <v>1045</v>
      </c>
      <c r="AZ452" s="86" t="s">
        <v>1067</v>
      </c>
      <c r="BA452" s="83" t="s">
        <v>1079</v>
      </c>
      <c r="BC452" s="35">
        <f>AW452+AX452</f>
        <v>36</v>
      </c>
      <c r="BD452" s="35">
        <f>I452/(100-BE452)*100</f>
        <v>9</v>
      </c>
      <c r="BE452" s="35">
        <v>0</v>
      </c>
      <c r="BF452" s="35">
        <f>452</f>
        <v>452</v>
      </c>
      <c r="BH452" s="65">
        <f>H452*AO452</f>
        <v>36</v>
      </c>
      <c r="BI452" s="65">
        <f>H452*AP452</f>
        <v>0</v>
      </c>
      <c r="BJ452" s="65">
        <f>H452*I452</f>
        <v>36</v>
      </c>
      <c r="BK452" s="65" t="s">
        <v>1001</v>
      </c>
      <c r="BL452" s="35">
        <v>741</v>
      </c>
    </row>
    <row r="453" spans="1:64" x14ac:dyDescent="0.2">
      <c r="A453" s="19"/>
      <c r="C453" s="59" t="s">
        <v>521</v>
      </c>
      <c r="D453" s="180" t="s">
        <v>889</v>
      </c>
      <c r="E453" s="181"/>
      <c r="F453" s="181"/>
      <c r="G453" s="181"/>
      <c r="H453" s="181"/>
      <c r="I453" s="182"/>
      <c r="J453" s="181"/>
      <c r="K453" s="181"/>
      <c r="L453" s="181"/>
      <c r="M453" s="183"/>
      <c r="N453" s="19"/>
    </row>
    <row r="454" spans="1:64" x14ac:dyDescent="0.2">
      <c r="A454" s="47" t="s">
        <v>344</v>
      </c>
      <c r="B454" s="55" t="s">
        <v>65</v>
      </c>
      <c r="C454" s="55" t="s">
        <v>706</v>
      </c>
      <c r="D454" s="178" t="s">
        <v>890</v>
      </c>
      <c r="E454" s="179"/>
      <c r="F454" s="179"/>
      <c r="G454" s="55" t="s">
        <v>1002</v>
      </c>
      <c r="H454" s="64">
        <v>4</v>
      </c>
      <c r="I454" s="71">
        <v>468</v>
      </c>
      <c r="J454" s="64">
        <f>H454*AO454</f>
        <v>0</v>
      </c>
      <c r="K454" s="64">
        <f>H454*AP454</f>
        <v>1872</v>
      </c>
      <c r="L454" s="64">
        <f>H454*I454</f>
        <v>1872</v>
      </c>
      <c r="M454" s="79"/>
      <c r="N454" s="19"/>
      <c r="Z454" s="35">
        <f>IF(AQ454="5",BJ454,0)</f>
        <v>0</v>
      </c>
      <c r="AB454" s="35">
        <f>IF(AQ454="1",BH454,0)</f>
        <v>0</v>
      </c>
      <c r="AC454" s="35">
        <f>IF(AQ454="1",BI454,0)</f>
        <v>0</v>
      </c>
      <c r="AD454" s="35">
        <f>IF(AQ454="7",BH454,0)</f>
        <v>0</v>
      </c>
      <c r="AE454" s="35">
        <f>IF(AQ454="7",BI454,0)</f>
        <v>1872</v>
      </c>
      <c r="AF454" s="35">
        <f>IF(AQ454="2",BH454,0)</f>
        <v>0</v>
      </c>
      <c r="AG454" s="35">
        <f>IF(AQ454="2",BI454,0)</f>
        <v>0</v>
      </c>
      <c r="AH454" s="35">
        <f>IF(AQ454="0",BJ454,0)</f>
        <v>0</v>
      </c>
      <c r="AI454" s="83" t="s">
        <v>65</v>
      </c>
      <c r="AJ454" s="64">
        <f>IF(AN454=0,L454,0)</f>
        <v>0</v>
      </c>
      <c r="AK454" s="64">
        <f>IF(AN454=15,L454,0)</f>
        <v>0</v>
      </c>
      <c r="AL454" s="64">
        <f>IF(AN454=21,L454,0)</f>
        <v>1872</v>
      </c>
      <c r="AN454" s="35">
        <v>21</v>
      </c>
      <c r="AO454" s="35">
        <f>I454*0</f>
        <v>0</v>
      </c>
      <c r="AP454" s="35">
        <f>I454*(1-0)</f>
        <v>468</v>
      </c>
      <c r="AQ454" s="84" t="s">
        <v>144</v>
      </c>
      <c r="AV454" s="35">
        <f>AW454+AX454</f>
        <v>1872</v>
      </c>
      <c r="AW454" s="35">
        <f>H454*AO454</f>
        <v>0</v>
      </c>
      <c r="AX454" s="35">
        <f>H454*AP454</f>
        <v>1872</v>
      </c>
      <c r="AY454" s="86" t="s">
        <v>1045</v>
      </c>
      <c r="AZ454" s="86" t="s">
        <v>1067</v>
      </c>
      <c r="BA454" s="83" t="s">
        <v>1079</v>
      </c>
      <c r="BC454" s="35">
        <f>AW454+AX454</f>
        <v>1872</v>
      </c>
      <c r="BD454" s="35">
        <f>I454/(100-BE454)*100</f>
        <v>468</v>
      </c>
      <c r="BE454" s="35">
        <v>0</v>
      </c>
      <c r="BF454" s="35">
        <f>454</f>
        <v>454</v>
      </c>
      <c r="BH454" s="64">
        <f>H454*AO454</f>
        <v>0</v>
      </c>
      <c r="BI454" s="64">
        <f>H454*AP454</f>
        <v>1872</v>
      </c>
      <c r="BJ454" s="64">
        <f>H454*I454</f>
        <v>1872</v>
      </c>
      <c r="BK454" s="64" t="s">
        <v>1086</v>
      </c>
      <c r="BL454" s="35">
        <v>741</v>
      </c>
    </row>
    <row r="455" spans="1:64" x14ac:dyDescent="0.2">
      <c r="A455" s="19"/>
      <c r="C455" s="59" t="s">
        <v>521</v>
      </c>
      <c r="D455" s="180" t="s">
        <v>890</v>
      </c>
      <c r="E455" s="181"/>
      <c r="F455" s="181"/>
      <c r="G455" s="181"/>
      <c r="H455" s="181"/>
      <c r="I455" s="182"/>
      <c r="J455" s="181"/>
      <c r="K455" s="181"/>
      <c r="L455" s="181"/>
      <c r="M455" s="183"/>
      <c r="N455" s="19"/>
    </row>
    <row r="456" spans="1:64" x14ac:dyDescent="0.2">
      <c r="A456" s="49" t="s">
        <v>345</v>
      </c>
      <c r="B456" s="57" t="s">
        <v>65</v>
      </c>
      <c r="C456" s="57" t="s">
        <v>707</v>
      </c>
      <c r="D456" s="186" t="s">
        <v>891</v>
      </c>
      <c r="E456" s="187"/>
      <c r="F456" s="187"/>
      <c r="G456" s="57" t="s">
        <v>1001</v>
      </c>
      <c r="H456" s="65">
        <v>2</v>
      </c>
      <c r="I456" s="73">
        <v>32</v>
      </c>
      <c r="J456" s="65">
        <f>H456*AO456</f>
        <v>64</v>
      </c>
      <c r="K456" s="65">
        <f>H456*AP456</f>
        <v>0</v>
      </c>
      <c r="L456" s="65">
        <f>H456*I456</f>
        <v>64</v>
      </c>
      <c r="M456" s="81"/>
      <c r="N456" s="19"/>
      <c r="Z456" s="35">
        <f>IF(AQ456="5",BJ456,0)</f>
        <v>0</v>
      </c>
      <c r="AB456" s="35">
        <f>IF(AQ456="1",BH456,0)</f>
        <v>0</v>
      </c>
      <c r="AC456" s="35">
        <f>IF(AQ456="1",BI456,0)</f>
        <v>0</v>
      </c>
      <c r="AD456" s="35">
        <f>IF(AQ456="7",BH456,0)</f>
        <v>64</v>
      </c>
      <c r="AE456" s="35">
        <f>IF(AQ456="7",BI456,0)</f>
        <v>0</v>
      </c>
      <c r="AF456" s="35">
        <f>IF(AQ456="2",BH456,0)</f>
        <v>0</v>
      </c>
      <c r="AG456" s="35">
        <f>IF(AQ456="2",BI456,0)</f>
        <v>0</v>
      </c>
      <c r="AH456" s="35">
        <f>IF(AQ456="0",BJ456,0)</f>
        <v>0</v>
      </c>
      <c r="AI456" s="83" t="s">
        <v>65</v>
      </c>
      <c r="AJ456" s="65">
        <f>IF(AN456=0,L456,0)</f>
        <v>0</v>
      </c>
      <c r="AK456" s="65">
        <f>IF(AN456=15,L456,0)</f>
        <v>0</v>
      </c>
      <c r="AL456" s="65">
        <f>IF(AN456=21,L456,0)</f>
        <v>64</v>
      </c>
      <c r="AN456" s="35">
        <v>21</v>
      </c>
      <c r="AO456" s="35">
        <f>I456*1</f>
        <v>32</v>
      </c>
      <c r="AP456" s="35">
        <f>I456*(1-1)</f>
        <v>0</v>
      </c>
      <c r="AQ456" s="85" t="s">
        <v>144</v>
      </c>
      <c r="AV456" s="35">
        <f>AW456+AX456</f>
        <v>64</v>
      </c>
      <c r="AW456" s="35">
        <f>H456*AO456</f>
        <v>64</v>
      </c>
      <c r="AX456" s="35">
        <f>H456*AP456</f>
        <v>0</v>
      </c>
      <c r="AY456" s="86" t="s">
        <v>1045</v>
      </c>
      <c r="AZ456" s="86" t="s">
        <v>1067</v>
      </c>
      <c r="BA456" s="83" t="s">
        <v>1079</v>
      </c>
      <c r="BC456" s="35">
        <f>AW456+AX456</f>
        <v>64</v>
      </c>
      <c r="BD456" s="35">
        <f>I456/(100-BE456)*100</f>
        <v>32</v>
      </c>
      <c r="BE456" s="35">
        <v>0</v>
      </c>
      <c r="BF456" s="35">
        <f>456</f>
        <v>456</v>
      </c>
      <c r="BH456" s="65">
        <f>H456*AO456</f>
        <v>64</v>
      </c>
      <c r="BI456" s="65">
        <f>H456*AP456</f>
        <v>0</v>
      </c>
      <c r="BJ456" s="65">
        <f>H456*I456</f>
        <v>64</v>
      </c>
      <c r="BK456" s="65" t="s">
        <v>1001</v>
      </c>
      <c r="BL456" s="35">
        <v>741</v>
      </c>
    </row>
    <row r="457" spans="1:64" x14ac:dyDescent="0.2">
      <c r="A457" s="19"/>
      <c r="C457" s="59" t="s">
        <v>521</v>
      </c>
      <c r="D457" s="180" t="s">
        <v>891</v>
      </c>
      <c r="E457" s="181"/>
      <c r="F457" s="181"/>
      <c r="G457" s="181"/>
      <c r="H457" s="181"/>
      <c r="I457" s="182"/>
      <c r="J457" s="181"/>
      <c r="K457" s="181"/>
      <c r="L457" s="181"/>
      <c r="M457" s="183"/>
      <c r="N457" s="19"/>
    </row>
    <row r="458" spans="1:64" x14ac:dyDescent="0.2">
      <c r="A458" s="47" t="s">
        <v>346</v>
      </c>
      <c r="B458" s="55" t="s">
        <v>65</v>
      </c>
      <c r="C458" s="55" t="s">
        <v>708</v>
      </c>
      <c r="D458" s="178" t="s">
        <v>892</v>
      </c>
      <c r="E458" s="179"/>
      <c r="F458" s="179"/>
      <c r="G458" s="55" t="s">
        <v>1002</v>
      </c>
      <c r="H458" s="64">
        <v>1</v>
      </c>
      <c r="I458" s="71">
        <v>396</v>
      </c>
      <c r="J458" s="64">
        <f>H458*AO458</f>
        <v>0</v>
      </c>
      <c r="K458" s="64">
        <f>H458*AP458</f>
        <v>396</v>
      </c>
      <c r="L458" s="64">
        <f>H458*I458</f>
        <v>396</v>
      </c>
      <c r="M458" s="79"/>
      <c r="N458" s="19"/>
      <c r="Z458" s="35">
        <f>IF(AQ458="5",BJ458,0)</f>
        <v>0</v>
      </c>
      <c r="AB458" s="35">
        <f>IF(AQ458="1",BH458,0)</f>
        <v>0</v>
      </c>
      <c r="AC458" s="35">
        <f>IF(AQ458="1",BI458,0)</f>
        <v>0</v>
      </c>
      <c r="AD458" s="35">
        <f>IF(AQ458="7",BH458,0)</f>
        <v>0</v>
      </c>
      <c r="AE458" s="35">
        <f>IF(AQ458="7",BI458,0)</f>
        <v>396</v>
      </c>
      <c r="AF458" s="35">
        <f>IF(AQ458="2",BH458,0)</f>
        <v>0</v>
      </c>
      <c r="AG458" s="35">
        <f>IF(AQ458="2",BI458,0)</f>
        <v>0</v>
      </c>
      <c r="AH458" s="35">
        <f>IF(AQ458="0",BJ458,0)</f>
        <v>0</v>
      </c>
      <c r="AI458" s="83" t="s">
        <v>65</v>
      </c>
      <c r="AJ458" s="64">
        <f>IF(AN458=0,L458,0)</f>
        <v>0</v>
      </c>
      <c r="AK458" s="64">
        <f>IF(AN458=15,L458,0)</f>
        <v>0</v>
      </c>
      <c r="AL458" s="64">
        <f>IF(AN458=21,L458,0)</f>
        <v>396</v>
      </c>
      <c r="AN458" s="35">
        <v>21</v>
      </c>
      <c r="AO458" s="35">
        <f>I458*0</f>
        <v>0</v>
      </c>
      <c r="AP458" s="35">
        <f>I458*(1-0)</f>
        <v>396</v>
      </c>
      <c r="AQ458" s="84" t="s">
        <v>144</v>
      </c>
      <c r="AV458" s="35">
        <f>AW458+AX458</f>
        <v>396</v>
      </c>
      <c r="AW458" s="35">
        <f>H458*AO458</f>
        <v>0</v>
      </c>
      <c r="AX458" s="35">
        <f>H458*AP458</f>
        <v>396</v>
      </c>
      <c r="AY458" s="86" t="s">
        <v>1045</v>
      </c>
      <c r="AZ458" s="86" t="s">
        <v>1067</v>
      </c>
      <c r="BA458" s="83" t="s">
        <v>1079</v>
      </c>
      <c r="BC458" s="35">
        <f>AW458+AX458</f>
        <v>396</v>
      </c>
      <c r="BD458" s="35">
        <f>I458/(100-BE458)*100</f>
        <v>396</v>
      </c>
      <c r="BE458" s="35">
        <v>0</v>
      </c>
      <c r="BF458" s="35">
        <f>458</f>
        <v>458</v>
      </c>
      <c r="BH458" s="64">
        <f>H458*AO458</f>
        <v>0</v>
      </c>
      <c r="BI458" s="64">
        <f>H458*AP458</f>
        <v>396</v>
      </c>
      <c r="BJ458" s="64">
        <f>H458*I458</f>
        <v>396</v>
      </c>
      <c r="BK458" s="64" t="s">
        <v>1086</v>
      </c>
      <c r="BL458" s="35">
        <v>741</v>
      </c>
    </row>
    <row r="459" spans="1:64" x14ac:dyDescent="0.2">
      <c r="A459" s="19"/>
      <c r="C459" s="59" t="s">
        <v>521</v>
      </c>
      <c r="D459" s="180" t="s">
        <v>893</v>
      </c>
      <c r="E459" s="181"/>
      <c r="F459" s="181"/>
      <c r="G459" s="181"/>
      <c r="H459" s="181"/>
      <c r="I459" s="182"/>
      <c r="J459" s="181"/>
      <c r="K459" s="181"/>
      <c r="L459" s="181"/>
      <c r="M459" s="183"/>
      <c r="N459" s="19"/>
    </row>
    <row r="460" spans="1:64" x14ac:dyDescent="0.2">
      <c r="A460" s="49" t="s">
        <v>347</v>
      </c>
      <c r="B460" s="57" t="s">
        <v>65</v>
      </c>
      <c r="C460" s="57" t="s">
        <v>709</v>
      </c>
      <c r="D460" s="186" t="s">
        <v>894</v>
      </c>
      <c r="E460" s="187"/>
      <c r="F460" s="187"/>
      <c r="G460" s="57" t="s">
        <v>1001</v>
      </c>
      <c r="H460" s="65">
        <v>5</v>
      </c>
      <c r="I460" s="73">
        <v>50</v>
      </c>
      <c r="J460" s="65">
        <f>H460*AO460</f>
        <v>250</v>
      </c>
      <c r="K460" s="65">
        <f>H460*AP460</f>
        <v>0</v>
      </c>
      <c r="L460" s="65">
        <f>H460*I460</f>
        <v>250</v>
      </c>
      <c r="M460" s="81"/>
      <c r="N460" s="19"/>
      <c r="Z460" s="35">
        <f>IF(AQ460="5",BJ460,0)</f>
        <v>0</v>
      </c>
      <c r="AB460" s="35">
        <f>IF(AQ460="1",BH460,0)</f>
        <v>0</v>
      </c>
      <c r="AC460" s="35">
        <f>IF(AQ460="1",BI460,0)</f>
        <v>0</v>
      </c>
      <c r="AD460" s="35">
        <f>IF(AQ460="7",BH460,0)</f>
        <v>250</v>
      </c>
      <c r="AE460" s="35">
        <f>IF(AQ460="7",BI460,0)</f>
        <v>0</v>
      </c>
      <c r="AF460" s="35">
        <f>IF(AQ460="2",BH460,0)</f>
        <v>0</v>
      </c>
      <c r="AG460" s="35">
        <f>IF(AQ460="2",BI460,0)</f>
        <v>0</v>
      </c>
      <c r="AH460" s="35">
        <f>IF(AQ460="0",BJ460,0)</f>
        <v>0</v>
      </c>
      <c r="AI460" s="83" t="s">
        <v>65</v>
      </c>
      <c r="AJ460" s="65">
        <f>IF(AN460=0,L460,0)</f>
        <v>0</v>
      </c>
      <c r="AK460" s="65">
        <f>IF(AN460=15,L460,0)</f>
        <v>0</v>
      </c>
      <c r="AL460" s="65">
        <f>IF(AN460=21,L460,0)</f>
        <v>250</v>
      </c>
      <c r="AN460" s="35">
        <v>21</v>
      </c>
      <c r="AO460" s="35">
        <f>I460*1</f>
        <v>50</v>
      </c>
      <c r="AP460" s="35">
        <f>I460*(1-1)</f>
        <v>0</v>
      </c>
      <c r="AQ460" s="85" t="s">
        <v>144</v>
      </c>
      <c r="AV460" s="35">
        <f>AW460+AX460</f>
        <v>250</v>
      </c>
      <c r="AW460" s="35">
        <f>H460*AO460</f>
        <v>250</v>
      </c>
      <c r="AX460" s="35">
        <f>H460*AP460</f>
        <v>0</v>
      </c>
      <c r="AY460" s="86" t="s">
        <v>1045</v>
      </c>
      <c r="AZ460" s="86" t="s">
        <v>1067</v>
      </c>
      <c r="BA460" s="83" t="s">
        <v>1079</v>
      </c>
      <c r="BC460" s="35">
        <f>AW460+AX460</f>
        <v>250</v>
      </c>
      <c r="BD460" s="35">
        <f>I460/(100-BE460)*100</f>
        <v>50</v>
      </c>
      <c r="BE460" s="35">
        <v>0</v>
      </c>
      <c r="BF460" s="35">
        <f>460</f>
        <v>460</v>
      </c>
      <c r="BH460" s="65">
        <f>H460*AO460</f>
        <v>250</v>
      </c>
      <c r="BI460" s="65">
        <f>H460*AP460</f>
        <v>0</v>
      </c>
      <c r="BJ460" s="65">
        <f>H460*I460</f>
        <v>250</v>
      </c>
      <c r="BK460" s="65" t="s">
        <v>1001</v>
      </c>
      <c r="BL460" s="35">
        <v>741</v>
      </c>
    </row>
    <row r="461" spans="1:64" x14ac:dyDescent="0.2">
      <c r="A461" s="19"/>
      <c r="C461" s="59" t="s">
        <v>521</v>
      </c>
      <c r="D461" s="180" t="s">
        <v>894</v>
      </c>
      <c r="E461" s="181"/>
      <c r="F461" s="181"/>
      <c r="G461" s="181"/>
      <c r="H461" s="181"/>
      <c r="I461" s="182"/>
      <c r="J461" s="181"/>
      <c r="K461" s="181"/>
      <c r="L461" s="181"/>
      <c r="M461" s="183"/>
      <c r="N461" s="19"/>
    </row>
    <row r="462" spans="1:64" x14ac:dyDescent="0.2">
      <c r="A462" s="47" t="s">
        <v>348</v>
      </c>
      <c r="B462" s="55" t="s">
        <v>65</v>
      </c>
      <c r="C462" s="55" t="s">
        <v>710</v>
      </c>
      <c r="D462" s="178" t="s">
        <v>895</v>
      </c>
      <c r="E462" s="179"/>
      <c r="F462" s="179"/>
      <c r="G462" s="55" t="s">
        <v>1002</v>
      </c>
      <c r="H462" s="64">
        <v>1</v>
      </c>
      <c r="I462" s="71">
        <v>504</v>
      </c>
      <c r="J462" s="64">
        <f>H462*AO462</f>
        <v>0</v>
      </c>
      <c r="K462" s="64">
        <f>H462*AP462</f>
        <v>504</v>
      </c>
      <c r="L462" s="64">
        <f>H462*I462</f>
        <v>504</v>
      </c>
      <c r="M462" s="79"/>
      <c r="N462" s="19"/>
      <c r="Z462" s="35">
        <f>IF(AQ462="5",BJ462,0)</f>
        <v>0</v>
      </c>
      <c r="AB462" s="35">
        <f>IF(AQ462="1",BH462,0)</f>
        <v>0</v>
      </c>
      <c r="AC462" s="35">
        <f>IF(AQ462="1",BI462,0)</f>
        <v>0</v>
      </c>
      <c r="AD462" s="35">
        <f>IF(AQ462="7",BH462,0)</f>
        <v>0</v>
      </c>
      <c r="AE462" s="35">
        <f>IF(AQ462="7",BI462,0)</f>
        <v>504</v>
      </c>
      <c r="AF462" s="35">
        <f>IF(AQ462="2",BH462,0)</f>
        <v>0</v>
      </c>
      <c r="AG462" s="35">
        <f>IF(AQ462="2",BI462,0)</f>
        <v>0</v>
      </c>
      <c r="AH462" s="35">
        <f>IF(AQ462="0",BJ462,0)</f>
        <v>0</v>
      </c>
      <c r="AI462" s="83" t="s">
        <v>65</v>
      </c>
      <c r="AJ462" s="64">
        <f>IF(AN462=0,L462,0)</f>
        <v>0</v>
      </c>
      <c r="AK462" s="64">
        <f>IF(AN462=15,L462,0)</f>
        <v>0</v>
      </c>
      <c r="AL462" s="64">
        <f>IF(AN462=21,L462,0)</f>
        <v>504</v>
      </c>
      <c r="AN462" s="35">
        <v>21</v>
      </c>
      <c r="AO462" s="35">
        <f>I462*0</f>
        <v>0</v>
      </c>
      <c r="AP462" s="35">
        <f>I462*(1-0)</f>
        <v>504</v>
      </c>
      <c r="AQ462" s="84" t="s">
        <v>144</v>
      </c>
      <c r="AV462" s="35">
        <f>AW462+AX462</f>
        <v>504</v>
      </c>
      <c r="AW462" s="35">
        <f>H462*AO462</f>
        <v>0</v>
      </c>
      <c r="AX462" s="35">
        <f>H462*AP462</f>
        <v>504</v>
      </c>
      <c r="AY462" s="86" t="s">
        <v>1045</v>
      </c>
      <c r="AZ462" s="86" t="s">
        <v>1067</v>
      </c>
      <c r="BA462" s="83" t="s">
        <v>1079</v>
      </c>
      <c r="BC462" s="35">
        <f>AW462+AX462</f>
        <v>504</v>
      </c>
      <c r="BD462" s="35">
        <f>I462/(100-BE462)*100</f>
        <v>504</v>
      </c>
      <c r="BE462" s="35">
        <v>0</v>
      </c>
      <c r="BF462" s="35">
        <f>462</f>
        <v>462</v>
      </c>
      <c r="BH462" s="64">
        <f>H462*AO462</f>
        <v>0</v>
      </c>
      <c r="BI462" s="64">
        <f>H462*AP462</f>
        <v>504</v>
      </c>
      <c r="BJ462" s="64">
        <f>H462*I462</f>
        <v>504</v>
      </c>
      <c r="BK462" s="64" t="s">
        <v>1086</v>
      </c>
      <c r="BL462" s="35">
        <v>741</v>
      </c>
    </row>
    <row r="463" spans="1:64" x14ac:dyDescent="0.2">
      <c r="A463" s="19"/>
      <c r="C463" s="59" t="s">
        <v>521</v>
      </c>
      <c r="D463" s="180" t="s">
        <v>895</v>
      </c>
      <c r="E463" s="181"/>
      <c r="F463" s="181"/>
      <c r="G463" s="181"/>
      <c r="H463" s="181"/>
      <c r="I463" s="182"/>
      <c r="J463" s="181"/>
      <c r="K463" s="181"/>
      <c r="L463" s="181"/>
      <c r="M463" s="183"/>
      <c r="N463" s="19"/>
    </row>
    <row r="464" spans="1:64" x14ac:dyDescent="0.2">
      <c r="A464" s="47" t="s">
        <v>349</v>
      </c>
      <c r="B464" s="55" t="s">
        <v>65</v>
      </c>
      <c r="C464" s="55" t="s">
        <v>571</v>
      </c>
      <c r="D464" s="178" t="s">
        <v>896</v>
      </c>
      <c r="E464" s="179"/>
      <c r="F464" s="179"/>
      <c r="G464" s="55" t="s">
        <v>1000</v>
      </c>
      <c r="H464" s="64">
        <v>174.92</v>
      </c>
      <c r="I464" s="71">
        <v>1</v>
      </c>
      <c r="J464" s="64">
        <f>H464*AO464</f>
        <v>0</v>
      </c>
      <c r="K464" s="64">
        <f>H464*AP464</f>
        <v>174.92</v>
      </c>
      <c r="L464" s="64">
        <f>H464*I464</f>
        <v>174.92</v>
      </c>
      <c r="M464" s="79" t="s">
        <v>1021</v>
      </c>
      <c r="N464" s="19"/>
      <c r="Z464" s="35">
        <f>IF(AQ464="5",BJ464,0)</f>
        <v>0</v>
      </c>
      <c r="AB464" s="35">
        <f>IF(AQ464="1",BH464,0)</f>
        <v>0</v>
      </c>
      <c r="AC464" s="35">
        <f>IF(AQ464="1",BI464,0)</f>
        <v>0</v>
      </c>
      <c r="AD464" s="35">
        <f>IF(AQ464="7",BH464,0)</f>
        <v>0</v>
      </c>
      <c r="AE464" s="35">
        <f>IF(AQ464="7",BI464,0)</f>
        <v>174.92</v>
      </c>
      <c r="AF464" s="35">
        <f>IF(AQ464="2",BH464,0)</f>
        <v>0</v>
      </c>
      <c r="AG464" s="35">
        <f>IF(AQ464="2",BI464,0)</f>
        <v>0</v>
      </c>
      <c r="AH464" s="35">
        <f>IF(AQ464="0",BJ464,0)</f>
        <v>0</v>
      </c>
      <c r="AI464" s="83" t="s">
        <v>65</v>
      </c>
      <c r="AJ464" s="64">
        <f>IF(AN464=0,L464,0)</f>
        <v>0</v>
      </c>
      <c r="AK464" s="64">
        <f>IF(AN464=15,L464,0)</f>
        <v>0</v>
      </c>
      <c r="AL464" s="64">
        <f>IF(AN464=21,L464,0)</f>
        <v>174.92</v>
      </c>
      <c r="AN464" s="35">
        <v>21</v>
      </c>
      <c r="AO464" s="35">
        <f>I464*0</f>
        <v>0</v>
      </c>
      <c r="AP464" s="35">
        <f>I464*(1-0)</f>
        <v>1</v>
      </c>
      <c r="AQ464" s="84" t="s">
        <v>144</v>
      </c>
      <c r="AV464" s="35">
        <f>AW464+AX464</f>
        <v>174.92</v>
      </c>
      <c r="AW464" s="35">
        <f>H464*AO464</f>
        <v>0</v>
      </c>
      <c r="AX464" s="35">
        <f>H464*AP464</f>
        <v>174.92</v>
      </c>
      <c r="AY464" s="86" t="s">
        <v>1045</v>
      </c>
      <c r="AZ464" s="86" t="s">
        <v>1067</v>
      </c>
      <c r="BA464" s="83" t="s">
        <v>1079</v>
      </c>
      <c r="BC464" s="35">
        <f>AW464+AX464</f>
        <v>174.92</v>
      </c>
      <c r="BD464" s="35">
        <f>I464/(100-BE464)*100</f>
        <v>1</v>
      </c>
      <c r="BE464" s="35">
        <v>0</v>
      </c>
      <c r="BF464" s="35">
        <f>464</f>
        <v>464</v>
      </c>
      <c r="BH464" s="64">
        <f>H464*AO464</f>
        <v>0</v>
      </c>
      <c r="BI464" s="64">
        <f>H464*AP464</f>
        <v>174.92</v>
      </c>
      <c r="BJ464" s="64">
        <f>H464*I464</f>
        <v>174.92</v>
      </c>
      <c r="BK464" s="64" t="s">
        <v>1086</v>
      </c>
      <c r="BL464" s="35">
        <v>741</v>
      </c>
    </row>
    <row r="465" spans="1:64" x14ac:dyDescent="0.2">
      <c r="A465" s="19"/>
      <c r="C465" s="59" t="s">
        <v>521</v>
      </c>
      <c r="D465" s="180" t="s">
        <v>897</v>
      </c>
      <c r="E465" s="181"/>
      <c r="F465" s="181"/>
      <c r="G465" s="181"/>
      <c r="H465" s="181"/>
      <c r="I465" s="182"/>
      <c r="J465" s="181"/>
      <c r="K465" s="181"/>
      <c r="L465" s="181"/>
      <c r="M465" s="183"/>
      <c r="N465" s="19"/>
    </row>
    <row r="466" spans="1:64" x14ac:dyDescent="0.2">
      <c r="A466" s="49" t="s">
        <v>350</v>
      </c>
      <c r="B466" s="57" t="s">
        <v>65</v>
      </c>
      <c r="C466" s="57" t="s">
        <v>711</v>
      </c>
      <c r="D466" s="186" t="s">
        <v>898</v>
      </c>
      <c r="E466" s="187"/>
      <c r="F466" s="187"/>
      <c r="G466" s="57" t="s">
        <v>1002</v>
      </c>
      <c r="H466" s="65">
        <v>1</v>
      </c>
      <c r="I466" s="73">
        <v>166420</v>
      </c>
      <c r="J466" s="65">
        <f>H466*AO466</f>
        <v>166420</v>
      </c>
      <c r="K466" s="65">
        <f>H466*AP466</f>
        <v>0</v>
      </c>
      <c r="L466" s="65">
        <f>H466*I466</f>
        <v>166420</v>
      </c>
      <c r="M466" s="81"/>
      <c r="N466" s="19"/>
      <c r="Z466" s="35">
        <f>IF(AQ466="5",BJ466,0)</f>
        <v>0</v>
      </c>
      <c r="AB466" s="35">
        <f>IF(AQ466="1",BH466,0)</f>
        <v>0</v>
      </c>
      <c r="AC466" s="35">
        <f>IF(AQ466="1",BI466,0)</f>
        <v>0</v>
      </c>
      <c r="AD466" s="35">
        <f>IF(AQ466="7",BH466,0)</f>
        <v>166420</v>
      </c>
      <c r="AE466" s="35">
        <f>IF(AQ466="7",BI466,0)</f>
        <v>0</v>
      </c>
      <c r="AF466" s="35">
        <f>IF(AQ466="2",BH466,0)</f>
        <v>0</v>
      </c>
      <c r="AG466" s="35">
        <f>IF(AQ466="2",BI466,0)</f>
        <v>0</v>
      </c>
      <c r="AH466" s="35">
        <f>IF(AQ466="0",BJ466,0)</f>
        <v>0</v>
      </c>
      <c r="AI466" s="83" t="s">
        <v>65</v>
      </c>
      <c r="AJ466" s="65">
        <f>IF(AN466=0,L466,0)</f>
        <v>0</v>
      </c>
      <c r="AK466" s="65">
        <f>IF(AN466=15,L466,0)</f>
        <v>0</v>
      </c>
      <c r="AL466" s="65">
        <f>IF(AN466=21,L466,0)</f>
        <v>166420</v>
      </c>
      <c r="AN466" s="35">
        <v>21</v>
      </c>
      <c r="AO466" s="35">
        <f>I466*1</f>
        <v>166420</v>
      </c>
      <c r="AP466" s="35">
        <f>I466*(1-1)</f>
        <v>0</v>
      </c>
      <c r="AQ466" s="85" t="s">
        <v>144</v>
      </c>
      <c r="AV466" s="35">
        <f>AW466+AX466</f>
        <v>166420</v>
      </c>
      <c r="AW466" s="35">
        <f>H466*AO466</f>
        <v>166420</v>
      </c>
      <c r="AX466" s="35">
        <f>H466*AP466</f>
        <v>0</v>
      </c>
      <c r="AY466" s="86" t="s">
        <v>1045</v>
      </c>
      <c r="AZ466" s="86" t="s">
        <v>1067</v>
      </c>
      <c r="BA466" s="83" t="s">
        <v>1079</v>
      </c>
      <c r="BC466" s="35">
        <f>AW466+AX466</f>
        <v>166420</v>
      </c>
      <c r="BD466" s="35">
        <f>I466/(100-BE466)*100</f>
        <v>166420</v>
      </c>
      <c r="BE466" s="35">
        <v>0</v>
      </c>
      <c r="BF466" s="35">
        <f>466</f>
        <v>466</v>
      </c>
      <c r="BH466" s="65">
        <f>H466*AO466</f>
        <v>166420</v>
      </c>
      <c r="BI466" s="65">
        <f>H466*AP466</f>
        <v>0</v>
      </c>
      <c r="BJ466" s="65">
        <f>H466*I466</f>
        <v>166420</v>
      </c>
      <c r="BK466" s="65" t="s">
        <v>1001</v>
      </c>
      <c r="BL466" s="35">
        <v>741</v>
      </c>
    </row>
    <row r="467" spans="1:64" ht="179.65" customHeight="1" x14ac:dyDescent="0.2">
      <c r="A467" s="19"/>
      <c r="C467" s="59" t="s">
        <v>521</v>
      </c>
      <c r="D467" s="180" t="s">
        <v>969</v>
      </c>
      <c r="E467" s="181"/>
      <c r="F467" s="181"/>
      <c r="G467" s="181"/>
      <c r="H467" s="181"/>
      <c r="I467" s="182"/>
      <c r="J467" s="181"/>
      <c r="K467" s="181"/>
      <c r="L467" s="181"/>
      <c r="M467" s="183"/>
      <c r="N467" s="19"/>
    </row>
    <row r="468" spans="1:64" x14ac:dyDescent="0.2">
      <c r="A468" s="46"/>
      <c r="B468" s="54" t="s">
        <v>65</v>
      </c>
      <c r="C468" s="54" t="s">
        <v>117</v>
      </c>
      <c r="D468" s="176" t="s">
        <v>136</v>
      </c>
      <c r="E468" s="177"/>
      <c r="F468" s="177"/>
      <c r="G468" s="61" t="s">
        <v>60</v>
      </c>
      <c r="H468" s="61" t="s">
        <v>60</v>
      </c>
      <c r="I468" s="70" t="s">
        <v>60</v>
      </c>
      <c r="J468" s="89">
        <f>SUM(J469:J571)</f>
        <v>78006</v>
      </c>
      <c r="K468" s="89">
        <f>SUM(K469:K571)</f>
        <v>48955.002</v>
      </c>
      <c r="L468" s="89">
        <f>SUM(L469:L571)</f>
        <v>126961.00199999999</v>
      </c>
      <c r="M468" s="78"/>
      <c r="N468" s="19"/>
      <c r="AI468" s="83" t="s">
        <v>65</v>
      </c>
      <c r="AS468" s="89">
        <f>SUM(AJ469:AJ571)</f>
        <v>0</v>
      </c>
      <c r="AT468" s="89">
        <f>SUM(AK469:AK571)</f>
        <v>0</v>
      </c>
      <c r="AU468" s="89">
        <f>SUM(AL469:AL571)</f>
        <v>126961.00199999999</v>
      </c>
    </row>
    <row r="469" spans="1:64" x14ac:dyDescent="0.2">
      <c r="A469" s="47" t="s">
        <v>351</v>
      </c>
      <c r="B469" s="55" t="s">
        <v>65</v>
      </c>
      <c r="C469" s="55" t="s">
        <v>712</v>
      </c>
      <c r="D469" s="178" t="s">
        <v>900</v>
      </c>
      <c r="E469" s="179"/>
      <c r="F469" s="179"/>
      <c r="G469" s="55" t="s">
        <v>1002</v>
      </c>
      <c r="H469" s="64">
        <v>1</v>
      </c>
      <c r="I469" s="71">
        <v>12850</v>
      </c>
      <c r="J469" s="64">
        <f>H469*AO469</f>
        <v>0</v>
      </c>
      <c r="K469" s="64">
        <f>H469*AP469</f>
        <v>12850</v>
      </c>
      <c r="L469" s="64">
        <f>H469*I469</f>
        <v>12850</v>
      </c>
      <c r="M469" s="79"/>
      <c r="N469" s="19"/>
      <c r="Z469" s="35">
        <f>IF(AQ469="5",BJ469,0)</f>
        <v>0</v>
      </c>
      <c r="AB469" s="35">
        <f>IF(AQ469="1",BH469,0)</f>
        <v>0</v>
      </c>
      <c r="AC469" s="35">
        <f>IF(AQ469="1",BI469,0)</f>
        <v>0</v>
      </c>
      <c r="AD469" s="35">
        <f>IF(AQ469="7",BH469,0)</f>
        <v>0</v>
      </c>
      <c r="AE469" s="35">
        <f>IF(AQ469="7",BI469,0)</f>
        <v>12850</v>
      </c>
      <c r="AF469" s="35">
        <f>IF(AQ469="2",BH469,0)</f>
        <v>0</v>
      </c>
      <c r="AG469" s="35">
        <f>IF(AQ469="2",BI469,0)</f>
        <v>0</v>
      </c>
      <c r="AH469" s="35">
        <f>IF(AQ469="0",BJ469,0)</f>
        <v>0</v>
      </c>
      <c r="AI469" s="83" t="s">
        <v>65</v>
      </c>
      <c r="AJ469" s="64">
        <f>IF(AN469=0,L469,0)</f>
        <v>0</v>
      </c>
      <c r="AK469" s="64">
        <f>IF(AN469=15,L469,0)</f>
        <v>0</v>
      </c>
      <c r="AL469" s="64">
        <f>IF(AN469=21,L469,0)</f>
        <v>12850</v>
      </c>
      <c r="AN469" s="35">
        <v>21</v>
      </c>
      <c r="AO469" s="35">
        <f>I469*0</f>
        <v>0</v>
      </c>
      <c r="AP469" s="35">
        <f>I469*(1-0)</f>
        <v>12850</v>
      </c>
      <c r="AQ469" s="84" t="s">
        <v>144</v>
      </c>
      <c r="AV469" s="35">
        <f>AW469+AX469</f>
        <v>12850</v>
      </c>
      <c r="AW469" s="35">
        <f>H469*AO469</f>
        <v>0</v>
      </c>
      <c r="AX469" s="35">
        <f>H469*AP469</f>
        <v>12850</v>
      </c>
      <c r="AY469" s="86" t="s">
        <v>1046</v>
      </c>
      <c r="AZ469" s="86" t="s">
        <v>1068</v>
      </c>
      <c r="BA469" s="83" t="s">
        <v>1079</v>
      </c>
      <c r="BC469" s="35">
        <f>AW469+AX469</f>
        <v>12850</v>
      </c>
      <c r="BD469" s="35">
        <f>I469/(100-BE469)*100</f>
        <v>12850</v>
      </c>
      <c r="BE469" s="35">
        <v>0</v>
      </c>
      <c r="BF469" s="35">
        <f>469</f>
        <v>469</v>
      </c>
      <c r="BH469" s="64">
        <f>H469*AO469</f>
        <v>0</v>
      </c>
      <c r="BI469" s="64">
        <f>H469*AP469</f>
        <v>12850</v>
      </c>
      <c r="BJ469" s="64">
        <f>H469*I469</f>
        <v>12850</v>
      </c>
      <c r="BK469" s="64" t="s">
        <v>1086</v>
      </c>
      <c r="BL469" s="35">
        <v>751</v>
      </c>
    </row>
    <row r="470" spans="1:64" x14ac:dyDescent="0.2">
      <c r="A470" s="19"/>
      <c r="C470" s="59" t="s">
        <v>521</v>
      </c>
      <c r="D470" s="180" t="s">
        <v>901</v>
      </c>
      <c r="E470" s="181"/>
      <c r="F470" s="181"/>
      <c r="G470" s="181"/>
      <c r="H470" s="181"/>
      <c r="I470" s="182"/>
      <c r="J470" s="181"/>
      <c r="K470" s="181"/>
      <c r="L470" s="181"/>
      <c r="M470" s="183"/>
      <c r="N470" s="19"/>
    </row>
    <row r="471" spans="1:64" x14ac:dyDescent="0.2">
      <c r="A471" s="47" t="s">
        <v>352</v>
      </c>
      <c r="B471" s="55" t="s">
        <v>65</v>
      </c>
      <c r="C471" s="55" t="s">
        <v>713</v>
      </c>
      <c r="D471" s="178" t="s">
        <v>903</v>
      </c>
      <c r="E471" s="179"/>
      <c r="F471" s="179"/>
      <c r="G471" s="55" t="s">
        <v>1002</v>
      </c>
      <c r="H471" s="64">
        <v>1</v>
      </c>
      <c r="I471" s="71">
        <v>5840</v>
      </c>
      <c r="J471" s="64">
        <f>H471*AO471</f>
        <v>0</v>
      </c>
      <c r="K471" s="64">
        <f>H471*AP471</f>
        <v>5840</v>
      </c>
      <c r="L471" s="64">
        <f>H471*I471</f>
        <v>5840</v>
      </c>
      <c r="M471" s="79"/>
      <c r="N471" s="19"/>
      <c r="Z471" s="35">
        <f>IF(AQ471="5",BJ471,0)</f>
        <v>0</v>
      </c>
      <c r="AB471" s="35">
        <f>IF(AQ471="1",BH471,0)</f>
        <v>0</v>
      </c>
      <c r="AC471" s="35">
        <f>IF(AQ471="1",BI471,0)</f>
        <v>0</v>
      </c>
      <c r="AD471" s="35">
        <f>IF(AQ471="7",BH471,0)</f>
        <v>0</v>
      </c>
      <c r="AE471" s="35">
        <f>IF(AQ471="7",BI471,0)</f>
        <v>5840</v>
      </c>
      <c r="AF471" s="35">
        <f>IF(AQ471="2",BH471,0)</f>
        <v>0</v>
      </c>
      <c r="AG471" s="35">
        <f>IF(AQ471="2",BI471,0)</f>
        <v>0</v>
      </c>
      <c r="AH471" s="35">
        <f>IF(AQ471="0",BJ471,0)</f>
        <v>0</v>
      </c>
      <c r="AI471" s="83" t="s">
        <v>65</v>
      </c>
      <c r="AJ471" s="64">
        <f>IF(AN471=0,L471,0)</f>
        <v>0</v>
      </c>
      <c r="AK471" s="64">
        <f>IF(AN471=15,L471,0)</f>
        <v>0</v>
      </c>
      <c r="AL471" s="64">
        <f>IF(AN471=21,L471,0)</f>
        <v>5840</v>
      </c>
      <c r="AN471" s="35">
        <v>21</v>
      </c>
      <c r="AO471" s="35">
        <f>I471*0</f>
        <v>0</v>
      </c>
      <c r="AP471" s="35">
        <f>I471*(1-0)</f>
        <v>5840</v>
      </c>
      <c r="AQ471" s="84" t="s">
        <v>144</v>
      </c>
      <c r="AV471" s="35">
        <f>AW471+AX471</f>
        <v>5840</v>
      </c>
      <c r="AW471" s="35">
        <f>H471*AO471</f>
        <v>0</v>
      </c>
      <c r="AX471" s="35">
        <f>H471*AP471</f>
        <v>5840</v>
      </c>
      <c r="AY471" s="86" t="s">
        <v>1046</v>
      </c>
      <c r="AZ471" s="86" t="s">
        <v>1068</v>
      </c>
      <c r="BA471" s="83" t="s">
        <v>1079</v>
      </c>
      <c r="BC471" s="35">
        <f>AW471+AX471</f>
        <v>5840</v>
      </c>
      <c r="BD471" s="35">
        <f>I471/(100-BE471)*100</f>
        <v>5840</v>
      </c>
      <c r="BE471" s="35">
        <v>0</v>
      </c>
      <c r="BF471" s="35">
        <f>471</f>
        <v>471</v>
      </c>
      <c r="BH471" s="64">
        <f>H471*AO471</f>
        <v>0</v>
      </c>
      <c r="BI471" s="64">
        <f>H471*AP471</f>
        <v>5840</v>
      </c>
      <c r="BJ471" s="64">
        <f>H471*I471</f>
        <v>5840</v>
      </c>
      <c r="BK471" s="64" t="s">
        <v>1086</v>
      </c>
      <c r="BL471" s="35">
        <v>751</v>
      </c>
    </row>
    <row r="472" spans="1:64" x14ac:dyDescent="0.2">
      <c r="A472" s="19"/>
      <c r="C472" s="59" t="s">
        <v>521</v>
      </c>
      <c r="D472" s="180" t="s">
        <v>903</v>
      </c>
      <c r="E472" s="181"/>
      <c r="F472" s="181"/>
      <c r="G472" s="181"/>
      <c r="H472" s="181"/>
      <c r="I472" s="182"/>
      <c r="J472" s="181"/>
      <c r="K472" s="181"/>
      <c r="L472" s="181"/>
      <c r="M472" s="183"/>
      <c r="N472" s="19"/>
    </row>
    <row r="473" spans="1:64" x14ac:dyDescent="0.2">
      <c r="A473" s="49" t="s">
        <v>353</v>
      </c>
      <c r="B473" s="57" t="s">
        <v>65</v>
      </c>
      <c r="C473" s="57" t="s">
        <v>714</v>
      </c>
      <c r="D473" s="186" t="s">
        <v>902</v>
      </c>
      <c r="E473" s="187"/>
      <c r="F473" s="187"/>
      <c r="G473" s="57" t="s">
        <v>1006</v>
      </c>
      <c r="H473" s="65">
        <v>1</v>
      </c>
      <c r="I473" s="73">
        <v>920</v>
      </c>
      <c r="J473" s="65">
        <f>H473*AO473</f>
        <v>920</v>
      </c>
      <c r="K473" s="65">
        <f>H473*AP473</f>
        <v>0</v>
      </c>
      <c r="L473" s="65">
        <f>H473*I473</f>
        <v>920</v>
      </c>
      <c r="M473" s="81"/>
      <c r="N473" s="19"/>
      <c r="Z473" s="35">
        <f>IF(AQ473="5",BJ473,0)</f>
        <v>0</v>
      </c>
      <c r="AB473" s="35">
        <f>IF(AQ473="1",BH473,0)</f>
        <v>0</v>
      </c>
      <c r="AC473" s="35">
        <f>IF(AQ473="1",BI473,0)</f>
        <v>0</v>
      </c>
      <c r="AD473" s="35">
        <f>IF(AQ473="7",BH473,0)</f>
        <v>920</v>
      </c>
      <c r="AE473" s="35">
        <f>IF(AQ473="7",BI473,0)</f>
        <v>0</v>
      </c>
      <c r="AF473" s="35">
        <f>IF(AQ473="2",BH473,0)</f>
        <v>0</v>
      </c>
      <c r="AG473" s="35">
        <f>IF(AQ473="2",BI473,0)</f>
        <v>0</v>
      </c>
      <c r="AH473" s="35">
        <f>IF(AQ473="0",BJ473,0)</f>
        <v>0</v>
      </c>
      <c r="AI473" s="83" t="s">
        <v>65</v>
      </c>
      <c r="AJ473" s="65">
        <f>IF(AN473=0,L473,0)</f>
        <v>0</v>
      </c>
      <c r="AK473" s="65">
        <f>IF(AN473=15,L473,0)</f>
        <v>0</v>
      </c>
      <c r="AL473" s="65">
        <f>IF(AN473=21,L473,0)</f>
        <v>920</v>
      </c>
      <c r="AN473" s="35">
        <v>21</v>
      </c>
      <c r="AO473" s="35">
        <f>I473*1</f>
        <v>920</v>
      </c>
      <c r="AP473" s="35">
        <f>I473*(1-1)</f>
        <v>0</v>
      </c>
      <c r="AQ473" s="85" t="s">
        <v>144</v>
      </c>
      <c r="AV473" s="35">
        <f>AW473+AX473</f>
        <v>920</v>
      </c>
      <c r="AW473" s="35">
        <f>H473*AO473</f>
        <v>920</v>
      </c>
      <c r="AX473" s="35">
        <f>H473*AP473</f>
        <v>0</v>
      </c>
      <c r="AY473" s="86" t="s">
        <v>1046</v>
      </c>
      <c r="AZ473" s="86" t="s">
        <v>1068</v>
      </c>
      <c r="BA473" s="83" t="s">
        <v>1079</v>
      </c>
      <c r="BC473" s="35">
        <f>AW473+AX473</f>
        <v>920</v>
      </c>
      <c r="BD473" s="35">
        <f>I473/(100-BE473)*100</f>
        <v>919.99999999999989</v>
      </c>
      <c r="BE473" s="35">
        <v>0</v>
      </c>
      <c r="BF473" s="35">
        <f>473</f>
        <v>473</v>
      </c>
      <c r="BH473" s="65">
        <f>H473*AO473</f>
        <v>920</v>
      </c>
      <c r="BI473" s="65">
        <f>H473*AP473</f>
        <v>0</v>
      </c>
      <c r="BJ473" s="65">
        <f>H473*I473</f>
        <v>920</v>
      </c>
      <c r="BK473" s="65" t="s">
        <v>1001</v>
      </c>
      <c r="BL473" s="35">
        <v>751</v>
      </c>
    </row>
    <row r="474" spans="1:64" x14ac:dyDescent="0.2">
      <c r="A474" s="19"/>
      <c r="C474" s="59" t="s">
        <v>521</v>
      </c>
      <c r="D474" s="180" t="s">
        <v>902</v>
      </c>
      <c r="E474" s="181"/>
      <c r="F474" s="181"/>
      <c r="G474" s="181"/>
      <c r="H474" s="181"/>
      <c r="I474" s="182"/>
      <c r="J474" s="181"/>
      <c r="K474" s="181"/>
      <c r="L474" s="181"/>
      <c r="M474" s="183"/>
      <c r="N474" s="19"/>
    </row>
    <row r="475" spans="1:64" x14ac:dyDescent="0.2">
      <c r="A475" s="47" t="s">
        <v>354</v>
      </c>
      <c r="B475" s="55" t="s">
        <v>65</v>
      </c>
      <c r="C475" s="55" t="s">
        <v>576</v>
      </c>
      <c r="D475" s="178" t="s">
        <v>904</v>
      </c>
      <c r="E475" s="179"/>
      <c r="F475" s="179"/>
      <c r="G475" s="55" t="s">
        <v>1003</v>
      </c>
      <c r="H475" s="64">
        <v>2</v>
      </c>
      <c r="I475" s="71">
        <v>335</v>
      </c>
      <c r="J475" s="64">
        <f>H475*AO475</f>
        <v>0</v>
      </c>
      <c r="K475" s="64">
        <f>H475*AP475</f>
        <v>670</v>
      </c>
      <c r="L475" s="64">
        <f>H475*I475</f>
        <v>670</v>
      </c>
      <c r="M475" s="79" t="s">
        <v>1020</v>
      </c>
      <c r="N475" s="19"/>
      <c r="Z475" s="35">
        <f>IF(AQ475="5",BJ475,0)</f>
        <v>0</v>
      </c>
      <c r="AB475" s="35">
        <f>IF(AQ475="1",BH475,0)</f>
        <v>0</v>
      </c>
      <c r="AC475" s="35">
        <f>IF(AQ475="1",BI475,0)</f>
        <v>0</v>
      </c>
      <c r="AD475" s="35">
        <f>IF(AQ475="7",BH475,0)</f>
        <v>0</v>
      </c>
      <c r="AE475" s="35">
        <f>IF(AQ475="7",BI475,0)</f>
        <v>670</v>
      </c>
      <c r="AF475" s="35">
        <f>IF(AQ475="2",BH475,0)</f>
        <v>0</v>
      </c>
      <c r="AG475" s="35">
        <f>IF(AQ475="2",BI475,0)</f>
        <v>0</v>
      </c>
      <c r="AH475" s="35">
        <f>IF(AQ475="0",BJ475,0)</f>
        <v>0</v>
      </c>
      <c r="AI475" s="83" t="s">
        <v>65</v>
      </c>
      <c r="AJ475" s="64">
        <f>IF(AN475=0,L475,0)</f>
        <v>0</v>
      </c>
      <c r="AK475" s="64">
        <f>IF(AN475=15,L475,0)</f>
        <v>0</v>
      </c>
      <c r="AL475" s="64">
        <f>IF(AN475=21,L475,0)</f>
        <v>670</v>
      </c>
      <c r="AN475" s="35">
        <v>21</v>
      </c>
      <c r="AO475" s="35">
        <f>I475*0</f>
        <v>0</v>
      </c>
      <c r="AP475" s="35">
        <f>I475*(1-0)</f>
        <v>335</v>
      </c>
      <c r="AQ475" s="84" t="s">
        <v>144</v>
      </c>
      <c r="AV475" s="35">
        <f>AW475+AX475</f>
        <v>670</v>
      </c>
      <c r="AW475" s="35">
        <f>H475*AO475</f>
        <v>0</v>
      </c>
      <c r="AX475" s="35">
        <f>H475*AP475</f>
        <v>670</v>
      </c>
      <c r="AY475" s="86" t="s">
        <v>1046</v>
      </c>
      <c r="AZ475" s="86" t="s">
        <v>1068</v>
      </c>
      <c r="BA475" s="83" t="s">
        <v>1079</v>
      </c>
      <c r="BC475" s="35">
        <f>AW475+AX475</f>
        <v>670</v>
      </c>
      <c r="BD475" s="35">
        <f>I475/(100-BE475)*100</f>
        <v>335</v>
      </c>
      <c r="BE475" s="35">
        <v>0</v>
      </c>
      <c r="BF475" s="35">
        <f>475</f>
        <v>475</v>
      </c>
      <c r="BH475" s="64">
        <f>H475*AO475</f>
        <v>0</v>
      </c>
      <c r="BI475" s="64">
        <f>H475*AP475</f>
        <v>670</v>
      </c>
      <c r="BJ475" s="64">
        <f>H475*I475</f>
        <v>670</v>
      </c>
      <c r="BK475" s="64" t="s">
        <v>1086</v>
      </c>
      <c r="BL475" s="35">
        <v>751</v>
      </c>
    </row>
    <row r="476" spans="1:64" x14ac:dyDescent="0.2">
      <c r="A476" s="19"/>
      <c r="C476" s="59" t="s">
        <v>521</v>
      </c>
      <c r="D476" s="180" t="s">
        <v>904</v>
      </c>
      <c r="E476" s="181"/>
      <c r="F476" s="181"/>
      <c r="G476" s="181"/>
      <c r="H476" s="181"/>
      <c r="I476" s="182"/>
      <c r="J476" s="181"/>
      <c r="K476" s="181"/>
      <c r="L476" s="181"/>
      <c r="M476" s="183"/>
      <c r="N476" s="19"/>
    </row>
    <row r="477" spans="1:64" x14ac:dyDescent="0.2">
      <c r="A477" s="49" t="s">
        <v>355</v>
      </c>
      <c r="B477" s="57" t="s">
        <v>65</v>
      </c>
      <c r="C477" s="57" t="s">
        <v>715</v>
      </c>
      <c r="D477" s="186" t="s">
        <v>905</v>
      </c>
      <c r="E477" s="187"/>
      <c r="F477" s="187"/>
      <c r="G477" s="57" t="s">
        <v>1004</v>
      </c>
      <c r="H477" s="65">
        <v>2</v>
      </c>
      <c r="I477" s="73">
        <v>1340</v>
      </c>
      <c r="J477" s="65">
        <f>H477*AO477</f>
        <v>2680</v>
      </c>
      <c r="K477" s="65">
        <f>H477*AP477</f>
        <v>0</v>
      </c>
      <c r="L477" s="65">
        <f>H477*I477</f>
        <v>2680</v>
      </c>
      <c r="M477" s="81"/>
      <c r="N477" s="19"/>
      <c r="Z477" s="35">
        <f>IF(AQ477="5",BJ477,0)</f>
        <v>0</v>
      </c>
      <c r="AB477" s="35">
        <f>IF(AQ477="1",BH477,0)</f>
        <v>0</v>
      </c>
      <c r="AC477" s="35">
        <f>IF(AQ477="1",BI477,0)</f>
        <v>0</v>
      </c>
      <c r="AD477" s="35">
        <f>IF(AQ477="7",BH477,0)</f>
        <v>2680</v>
      </c>
      <c r="AE477" s="35">
        <f>IF(AQ477="7",BI477,0)</f>
        <v>0</v>
      </c>
      <c r="AF477" s="35">
        <f>IF(AQ477="2",BH477,0)</f>
        <v>0</v>
      </c>
      <c r="AG477" s="35">
        <f>IF(AQ477="2",BI477,0)</f>
        <v>0</v>
      </c>
      <c r="AH477" s="35">
        <f>IF(AQ477="0",BJ477,0)</f>
        <v>0</v>
      </c>
      <c r="AI477" s="83" t="s">
        <v>65</v>
      </c>
      <c r="AJ477" s="65">
        <f>IF(AN477=0,L477,0)</f>
        <v>0</v>
      </c>
      <c r="AK477" s="65">
        <f>IF(AN477=15,L477,0)</f>
        <v>0</v>
      </c>
      <c r="AL477" s="65">
        <f>IF(AN477=21,L477,0)</f>
        <v>2680</v>
      </c>
      <c r="AN477" s="35">
        <v>21</v>
      </c>
      <c r="AO477" s="35">
        <f>I477*1</f>
        <v>1340</v>
      </c>
      <c r="AP477" s="35">
        <f>I477*(1-1)</f>
        <v>0</v>
      </c>
      <c r="AQ477" s="85" t="s">
        <v>144</v>
      </c>
      <c r="AV477" s="35">
        <f>AW477+AX477</f>
        <v>2680</v>
      </c>
      <c r="AW477" s="35">
        <f>H477*AO477</f>
        <v>2680</v>
      </c>
      <c r="AX477" s="35">
        <f>H477*AP477</f>
        <v>0</v>
      </c>
      <c r="AY477" s="86" t="s">
        <v>1046</v>
      </c>
      <c r="AZ477" s="86" t="s">
        <v>1068</v>
      </c>
      <c r="BA477" s="83" t="s">
        <v>1079</v>
      </c>
      <c r="BC477" s="35">
        <f>AW477+AX477</f>
        <v>2680</v>
      </c>
      <c r="BD477" s="35">
        <f>I477/(100-BE477)*100</f>
        <v>1340</v>
      </c>
      <c r="BE477" s="35">
        <v>0</v>
      </c>
      <c r="BF477" s="35">
        <f>477</f>
        <v>477</v>
      </c>
      <c r="BH477" s="65">
        <f>H477*AO477</f>
        <v>2680</v>
      </c>
      <c r="BI477" s="65">
        <f>H477*AP477</f>
        <v>0</v>
      </c>
      <c r="BJ477" s="65">
        <f>H477*I477</f>
        <v>2680</v>
      </c>
      <c r="BK477" s="65" t="s">
        <v>1001</v>
      </c>
      <c r="BL477" s="35">
        <v>751</v>
      </c>
    </row>
    <row r="478" spans="1:64" x14ac:dyDescent="0.2">
      <c r="A478" s="19"/>
      <c r="C478" s="59" t="s">
        <v>521</v>
      </c>
      <c r="D478" s="180" t="s">
        <v>905</v>
      </c>
      <c r="E478" s="181"/>
      <c r="F478" s="181"/>
      <c r="G478" s="181"/>
      <c r="H478" s="181"/>
      <c r="I478" s="182"/>
      <c r="J478" s="181"/>
      <c r="K478" s="181"/>
      <c r="L478" s="181"/>
      <c r="M478" s="183"/>
      <c r="N478" s="19"/>
    </row>
    <row r="479" spans="1:64" x14ac:dyDescent="0.2">
      <c r="A479" s="49" t="s">
        <v>356</v>
      </c>
      <c r="B479" s="57" t="s">
        <v>65</v>
      </c>
      <c r="C479" s="57" t="s">
        <v>716</v>
      </c>
      <c r="D479" s="186" t="s">
        <v>906</v>
      </c>
      <c r="E479" s="187"/>
      <c r="F479" s="187"/>
      <c r="G479" s="57" t="s">
        <v>1004</v>
      </c>
      <c r="H479" s="65">
        <v>1</v>
      </c>
      <c r="I479" s="73">
        <v>897</v>
      </c>
      <c r="J479" s="65">
        <f>H479*AO479</f>
        <v>897</v>
      </c>
      <c r="K479" s="65">
        <f>H479*AP479</f>
        <v>0</v>
      </c>
      <c r="L479" s="65">
        <f>H479*I479</f>
        <v>897</v>
      </c>
      <c r="M479" s="81"/>
      <c r="N479" s="19"/>
      <c r="Z479" s="35">
        <f>IF(AQ479="5",BJ479,0)</f>
        <v>0</v>
      </c>
      <c r="AB479" s="35">
        <f>IF(AQ479="1",BH479,0)</f>
        <v>0</v>
      </c>
      <c r="AC479" s="35">
        <f>IF(AQ479="1",BI479,0)</f>
        <v>0</v>
      </c>
      <c r="AD479" s="35">
        <f>IF(AQ479="7",BH479,0)</f>
        <v>897</v>
      </c>
      <c r="AE479" s="35">
        <f>IF(AQ479="7",BI479,0)</f>
        <v>0</v>
      </c>
      <c r="AF479" s="35">
        <f>IF(AQ479="2",BH479,0)</f>
        <v>0</v>
      </c>
      <c r="AG479" s="35">
        <f>IF(AQ479="2",BI479,0)</f>
        <v>0</v>
      </c>
      <c r="AH479" s="35">
        <f>IF(AQ479="0",BJ479,0)</f>
        <v>0</v>
      </c>
      <c r="AI479" s="83" t="s">
        <v>65</v>
      </c>
      <c r="AJ479" s="65">
        <f>IF(AN479=0,L479,0)</f>
        <v>0</v>
      </c>
      <c r="AK479" s="65">
        <f>IF(AN479=15,L479,0)</f>
        <v>0</v>
      </c>
      <c r="AL479" s="65">
        <f>IF(AN479=21,L479,0)</f>
        <v>897</v>
      </c>
      <c r="AN479" s="35">
        <v>21</v>
      </c>
      <c r="AO479" s="35">
        <f>I479*1</f>
        <v>897</v>
      </c>
      <c r="AP479" s="35">
        <f>I479*(1-1)</f>
        <v>0</v>
      </c>
      <c r="AQ479" s="85" t="s">
        <v>144</v>
      </c>
      <c r="AV479" s="35">
        <f>AW479+AX479</f>
        <v>897</v>
      </c>
      <c r="AW479" s="35">
        <f>H479*AO479</f>
        <v>897</v>
      </c>
      <c r="AX479" s="35">
        <f>H479*AP479</f>
        <v>0</v>
      </c>
      <c r="AY479" s="86" t="s">
        <v>1046</v>
      </c>
      <c r="AZ479" s="86" t="s">
        <v>1068</v>
      </c>
      <c r="BA479" s="83" t="s">
        <v>1079</v>
      </c>
      <c r="BC479" s="35">
        <f>AW479+AX479</f>
        <v>897</v>
      </c>
      <c r="BD479" s="35">
        <f>I479/(100-BE479)*100</f>
        <v>897.00000000000011</v>
      </c>
      <c r="BE479" s="35">
        <v>0</v>
      </c>
      <c r="BF479" s="35">
        <f>479</f>
        <v>479</v>
      </c>
      <c r="BH479" s="65">
        <f>H479*AO479</f>
        <v>897</v>
      </c>
      <c r="BI479" s="65">
        <f>H479*AP479</f>
        <v>0</v>
      </c>
      <c r="BJ479" s="65">
        <f>H479*I479</f>
        <v>897</v>
      </c>
      <c r="BK479" s="65" t="s">
        <v>1001</v>
      </c>
      <c r="BL479" s="35">
        <v>751</v>
      </c>
    </row>
    <row r="480" spans="1:64" ht="25.7" customHeight="1" x14ac:dyDescent="0.2">
      <c r="A480" s="19"/>
      <c r="C480" s="59" t="s">
        <v>521</v>
      </c>
      <c r="D480" s="180" t="s">
        <v>907</v>
      </c>
      <c r="E480" s="181"/>
      <c r="F480" s="181"/>
      <c r="G480" s="181"/>
      <c r="H480" s="181"/>
      <c r="I480" s="182"/>
      <c r="J480" s="181"/>
      <c r="K480" s="181"/>
      <c r="L480" s="181"/>
      <c r="M480" s="183"/>
      <c r="N480" s="19"/>
    </row>
    <row r="481" spans="1:64" x14ac:dyDescent="0.2">
      <c r="A481" s="49" t="s">
        <v>357</v>
      </c>
      <c r="B481" s="57" t="s">
        <v>65</v>
      </c>
      <c r="C481" s="57" t="s">
        <v>717</v>
      </c>
      <c r="D481" s="186" t="s">
        <v>908</v>
      </c>
      <c r="E481" s="187"/>
      <c r="F481" s="187"/>
      <c r="G481" s="57" t="s">
        <v>1007</v>
      </c>
      <c r="H481" s="65">
        <v>5</v>
      </c>
      <c r="I481" s="73">
        <v>332</v>
      </c>
      <c r="J481" s="65">
        <f>H481*AO481</f>
        <v>1660</v>
      </c>
      <c r="K481" s="65">
        <f>H481*AP481</f>
        <v>0</v>
      </c>
      <c r="L481" s="65">
        <f>H481*I481</f>
        <v>1660</v>
      </c>
      <c r="M481" s="81"/>
      <c r="N481" s="19"/>
      <c r="Z481" s="35">
        <f>IF(AQ481="5",BJ481,0)</f>
        <v>0</v>
      </c>
      <c r="AB481" s="35">
        <f>IF(AQ481="1",BH481,0)</f>
        <v>0</v>
      </c>
      <c r="AC481" s="35">
        <f>IF(AQ481="1",BI481,0)</f>
        <v>0</v>
      </c>
      <c r="AD481" s="35">
        <f>IF(AQ481="7",BH481,0)</f>
        <v>1660</v>
      </c>
      <c r="AE481" s="35">
        <f>IF(AQ481="7",BI481,0)</f>
        <v>0</v>
      </c>
      <c r="AF481" s="35">
        <f>IF(AQ481="2",BH481,0)</f>
        <v>0</v>
      </c>
      <c r="AG481" s="35">
        <f>IF(AQ481="2",BI481,0)</f>
        <v>0</v>
      </c>
      <c r="AH481" s="35">
        <f>IF(AQ481="0",BJ481,0)</f>
        <v>0</v>
      </c>
      <c r="AI481" s="83" t="s">
        <v>65</v>
      </c>
      <c r="AJ481" s="65">
        <f>IF(AN481=0,L481,0)</f>
        <v>0</v>
      </c>
      <c r="AK481" s="65">
        <f>IF(AN481=15,L481,0)</f>
        <v>0</v>
      </c>
      <c r="AL481" s="65">
        <f>IF(AN481=21,L481,0)</f>
        <v>1660</v>
      </c>
      <c r="AN481" s="35">
        <v>21</v>
      </c>
      <c r="AO481" s="35">
        <f>I481*1</f>
        <v>332</v>
      </c>
      <c r="AP481" s="35">
        <f>I481*(1-1)</f>
        <v>0</v>
      </c>
      <c r="AQ481" s="85" t="s">
        <v>144</v>
      </c>
      <c r="AV481" s="35">
        <f>AW481+AX481</f>
        <v>1660</v>
      </c>
      <c r="AW481" s="35">
        <f>H481*AO481</f>
        <v>1660</v>
      </c>
      <c r="AX481" s="35">
        <f>H481*AP481</f>
        <v>0</v>
      </c>
      <c r="AY481" s="86" t="s">
        <v>1046</v>
      </c>
      <c r="AZ481" s="86" t="s">
        <v>1068</v>
      </c>
      <c r="BA481" s="83" t="s">
        <v>1079</v>
      </c>
      <c r="BC481" s="35">
        <f>AW481+AX481</f>
        <v>1660</v>
      </c>
      <c r="BD481" s="35">
        <f>I481/(100-BE481)*100</f>
        <v>332</v>
      </c>
      <c r="BE481" s="35">
        <v>0</v>
      </c>
      <c r="BF481" s="35">
        <f>481</f>
        <v>481</v>
      </c>
      <c r="BH481" s="65">
        <f>H481*AO481</f>
        <v>1660</v>
      </c>
      <c r="BI481" s="65">
        <f>H481*AP481</f>
        <v>0</v>
      </c>
      <c r="BJ481" s="65">
        <f>H481*I481</f>
        <v>1660</v>
      </c>
      <c r="BK481" s="65" t="s">
        <v>1001</v>
      </c>
      <c r="BL481" s="35">
        <v>751</v>
      </c>
    </row>
    <row r="482" spans="1:64" x14ac:dyDescent="0.2">
      <c r="A482" s="19"/>
      <c r="C482" s="59" t="s">
        <v>521</v>
      </c>
      <c r="D482" s="180" t="s">
        <v>908</v>
      </c>
      <c r="E482" s="181"/>
      <c r="F482" s="181"/>
      <c r="G482" s="181"/>
      <c r="H482" s="181"/>
      <c r="I482" s="182"/>
      <c r="J482" s="181"/>
      <c r="K482" s="181"/>
      <c r="L482" s="181"/>
      <c r="M482" s="183"/>
      <c r="N482" s="19"/>
    </row>
    <row r="483" spans="1:64" x14ac:dyDescent="0.2">
      <c r="A483" s="47" t="s">
        <v>358</v>
      </c>
      <c r="B483" s="55" t="s">
        <v>65</v>
      </c>
      <c r="C483" s="55" t="s">
        <v>718</v>
      </c>
      <c r="D483" s="178" t="s">
        <v>909</v>
      </c>
      <c r="E483" s="179"/>
      <c r="F483" s="179"/>
      <c r="G483" s="55" t="s">
        <v>1002</v>
      </c>
      <c r="H483" s="64">
        <v>1</v>
      </c>
      <c r="I483" s="71">
        <v>2670</v>
      </c>
      <c r="J483" s="64">
        <f>H483*AO483</f>
        <v>0</v>
      </c>
      <c r="K483" s="64">
        <f>H483*AP483</f>
        <v>2670</v>
      </c>
      <c r="L483" s="64">
        <f>H483*I483</f>
        <v>2670</v>
      </c>
      <c r="M483" s="79"/>
      <c r="N483" s="19"/>
      <c r="Z483" s="35">
        <f>IF(AQ483="5",BJ483,0)</f>
        <v>0</v>
      </c>
      <c r="AB483" s="35">
        <f>IF(AQ483="1",BH483,0)</f>
        <v>0</v>
      </c>
      <c r="AC483" s="35">
        <f>IF(AQ483="1",BI483,0)</f>
        <v>0</v>
      </c>
      <c r="AD483" s="35">
        <f>IF(AQ483="7",BH483,0)</f>
        <v>0</v>
      </c>
      <c r="AE483" s="35">
        <f>IF(AQ483="7",BI483,0)</f>
        <v>2670</v>
      </c>
      <c r="AF483" s="35">
        <f>IF(AQ483="2",BH483,0)</f>
        <v>0</v>
      </c>
      <c r="AG483" s="35">
        <f>IF(AQ483="2",BI483,0)</f>
        <v>0</v>
      </c>
      <c r="AH483" s="35">
        <f>IF(AQ483="0",BJ483,0)</f>
        <v>0</v>
      </c>
      <c r="AI483" s="83" t="s">
        <v>65</v>
      </c>
      <c r="AJ483" s="64">
        <f>IF(AN483=0,L483,0)</f>
        <v>0</v>
      </c>
      <c r="AK483" s="64">
        <f>IF(AN483=15,L483,0)</f>
        <v>0</v>
      </c>
      <c r="AL483" s="64">
        <f>IF(AN483=21,L483,0)</f>
        <v>2670</v>
      </c>
      <c r="AN483" s="35">
        <v>21</v>
      </c>
      <c r="AO483" s="35">
        <f>I483*0</f>
        <v>0</v>
      </c>
      <c r="AP483" s="35">
        <f>I483*(1-0)</f>
        <v>2670</v>
      </c>
      <c r="AQ483" s="84" t="s">
        <v>144</v>
      </c>
      <c r="AV483" s="35">
        <f>AW483+AX483</f>
        <v>2670</v>
      </c>
      <c r="AW483" s="35">
        <f>H483*AO483</f>
        <v>0</v>
      </c>
      <c r="AX483" s="35">
        <f>H483*AP483</f>
        <v>2670</v>
      </c>
      <c r="AY483" s="86" t="s">
        <v>1046</v>
      </c>
      <c r="AZ483" s="86" t="s">
        <v>1068</v>
      </c>
      <c r="BA483" s="83" t="s">
        <v>1079</v>
      </c>
      <c r="BC483" s="35">
        <f>AW483+AX483</f>
        <v>2670</v>
      </c>
      <c r="BD483" s="35">
        <f>I483/(100-BE483)*100</f>
        <v>2670</v>
      </c>
      <c r="BE483" s="35">
        <v>0</v>
      </c>
      <c r="BF483" s="35">
        <f>483</f>
        <v>483</v>
      </c>
      <c r="BH483" s="64">
        <f>H483*AO483</f>
        <v>0</v>
      </c>
      <c r="BI483" s="64">
        <f>H483*AP483</f>
        <v>2670</v>
      </c>
      <c r="BJ483" s="64">
        <f>H483*I483</f>
        <v>2670</v>
      </c>
      <c r="BK483" s="64" t="s">
        <v>1086</v>
      </c>
      <c r="BL483" s="35">
        <v>751</v>
      </c>
    </row>
    <row r="484" spans="1:64" x14ac:dyDescent="0.2">
      <c r="A484" s="19"/>
      <c r="C484" s="59" t="s">
        <v>521</v>
      </c>
      <c r="D484" s="180" t="s">
        <v>909</v>
      </c>
      <c r="E484" s="181"/>
      <c r="F484" s="181"/>
      <c r="G484" s="181"/>
      <c r="H484" s="181"/>
      <c r="I484" s="182"/>
      <c r="J484" s="181"/>
      <c r="K484" s="181"/>
      <c r="L484" s="181"/>
      <c r="M484" s="183"/>
      <c r="N484" s="19"/>
    </row>
    <row r="485" spans="1:64" x14ac:dyDescent="0.2">
      <c r="A485" s="49" t="s">
        <v>359</v>
      </c>
      <c r="B485" s="57" t="s">
        <v>65</v>
      </c>
      <c r="C485" s="57" t="s">
        <v>719</v>
      </c>
      <c r="D485" s="186" t="s">
        <v>910</v>
      </c>
      <c r="E485" s="187"/>
      <c r="F485" s="187"/>
      <c r="G485" s="57" t="s">
        <v>1004</v>
      </c>
      <c r="H485" s="65">
        <v>2</v>
      </c>
      <c r="I485" s="73">
        <v>8780</v>
      </c>
      <c r="J485" s="65">
        <f>H485*AO485</f>
        <v>17560</v>
      </c>
      <c r="K485" s="65">
        <f>H485*AP485</f>
        <v>0</v>
      </c>
      <c r="L485" s="65">
        <f>H485*I485</f>
        <v>17560</v>
      </c>
      <c r="M485" s="81"/>
      <c r="N485" s="19"/>
      <c r="Z485" s="35">
        <f>IF(AQ485="5",BJ485,0)</f>
        <v>0</v>
      </c>
      <c r="AB485" s="35">
        <f>IF(AQ485="1",BH485,0)</f>
        <v>0</v>
      </c>
      <c r="AC485" s="35">
        <f>IF(AQ485="1",BI485,0)</f>
        <v>0</v>
      </c>
      <c r="AD485" s="35">
        <f>IF(AQ485="7",BH485,0)</f>
        <v>17560</v>
      </c>
      <c r="AE485" s="35">
        <f>IF(AQ485="7",BI485,0)</f>
        <v>0</v>
      </c>
      <c r="AF485" s="35">
        <f>IF(AQ485="2",BH485,0)</f>
        <v>0</v>
      </c>
      <c r="AG485" s="35">
        <f>IF(AQ485="2",BI485,0)</f>
        <v>0</v>
      </c>
      <c r="AH485" s="35">
        <f>IF(AQ485="0",BJ485,0)</f>
        <v>0</v>
      </c>
      <c r="AI485" s="83" t="s">
        <v>65</v>
      </c>
      <c r="AJ485" s="65">
        <f>IF(AN485=0,L485,0)</f>
        <v>0</v>
      </c>
      <c r="AK485" s="65">
        <f>IF(AN485=15,L485,0)</f>
        <v>0</v>
      </c>
      <c r="AL485" s="65">
        <f>IF(AN485=21,L485,0)</f>
        <v>17560</v>
      </c>
      <c r="AN485" s="35">
        <v>21</v>
      </c>
      <c r="AO485" s="35">
        <f>I485*1</f>
        <v>8780</v>
      </c>
      <c r="AP485" s="35">
        <f>I485*(1-1)</f>
        <v>0</v>
      </c>
      <c r="AQ485" s="85" t="s">
        <v>144</v>
      </c>
      <c r="AV485" s="35">
        <f>AW485+AX485</f>
        <v>17560</v>
      </c>
      <c r="AW485" s="35">
        <f>H485*AO485</f>
        <v>17560</v>
      </c>
      <c r="AX485" s="35">
        <f>H485*AP485</f>
        <v>0</v>
      </c>
      <c r="AY485" s="86" t="s">
        <v>1046</v>
      </c>
      <c r="AZ485" s="86" t="s">
        <v>1068</v>
      </c>
      <c r="BA485" s="83" t="s">
        <v>1079</v>
      </c>
      <c r="BC485" s="35">
        <f>AW485+AX485</f>
        <v>17560</v>
      </c>
      <c r="BD485" s="35">
        <f>I485/(100-BE485)*100</f>
        <v>8780</v>
      </c>
      <c r="BE485" s="35">
        <v>0</v>
      </c>
      <c r="BF485" s="35">
        <f>485</f>
        <v>485</v>
      </c>
      <c r="BH485" s="65">
        <f>H485*AO485</f>
        <v>17560</v>
      </c>
      <c r="BI485" s="65">
        <f>H485*AP485</f>
        <v>0</v>
      </c>
      <c r="BJ485" s="65">
        <f>H485*I485</f>
        <v>17560</v>
      </c>
      <c r="BK485" s="65" t="s">
        <v>1001</v>
      </c>
      <c r="BL485" s="35">
        <v>751</v>
      </c>
    </row>
    <row r="486" spans="1:64" x14ac:dyDescent="0.2">
      <c r="A486" s="19"/>
      <c r="C486" s="59" t="s">
        <v>521</v>
      </c>
      <c r="D486" s="180" t="s">
        <v>910</v>
      </c>
      <c r="E486" s="181"/>
      <c r="F486" s="181"/>
      <c r="G486" s="181"/>
      <c r="H486" s="181"/>
      <c r="I486" s="182"/>
      <c r="J486" s="181"/>
      <c r="K486" s="181"/>
      <c r="L486" s="181"/>
      <c r="M486" s="183"/>
      <c r="N486" s="19"/>
    </row>
    <row r="487" spans="1:64" x14ac:dyDescent="0.2">
      <c r="A487" s="47" t="s">
        <v>360</v>
      </c>
      <c r="B487" s="55" t="s">
        <v>65</v>
      </c>
      <c r="C487" s="55" t="s">
        <v>582</v>
      </c>
      <c r="D487" s="178" t="s">
        <v>911</v>
      </c>
      <c r="E487" s="179"/>
      <c r="F487" s="179"/>
      <c r="G487" s="55" t="s">
        <v>1003</v>
      </c>
      <c r="H487" s="64">
        <v>2</v>
      </c>
      <c r="I487" s="71">
        <v>785</v>
      </c>
      <c r="J487" s="64">
        <f>H487*AO487</f>
        <v>0</v>
      </c>
      <c r="K487" s="64">
        <f>H487*AP487</f>
        <v>1570</v>
      </c>
      <c r="L487" s="64">
        <f>H487*I487</f>
        <v>1570</v>
      </c>
      <c r="M487" s="79" t="s">
        <v>1021</v>
      </c>
      <c r="N487" s="19"/>
      <c r="Z487" s="35">
        <f>IF(AQ487="5",BJ487,0)</f>
        <v>0</v>
      </c>
      <c r="AB487" s="35">
        <f>IF(AQ487="1",BH487,0)</f>
        <v>0</v>
      </c>
      <c r="AC487" s="35">
        <f>IF(AQ487="1",BI487,0)</f>
        <v>0</v>
      </c>
      <c r="AD487" s="35">
        <f>IF(AQ487="7",BH487,0)</f>
        <v>0</v>
      </c>
      <c r="AE487" s="35">
        <f>IF(AQ487="7",BI487,0)</f>
        <v>1570</v>
      </c>
      <c r="AF487" s="35">
        <f>IF(AQ487="2",BH487,0)</f>
        <v>0</v>
      </c>
      <c r="AG487" s="35">
        <f>IF(AQ487="2",BI487,0)</f>
        <v>0</v>
      </c>
      <c r="AH487" s="35">
        <f>IF(AQ487="0",BJ487,0)</f>
        <v>0</v>
      </c>
      <c r="AI487" s="83" t="s">
        <v>65</v>
      </c>
      <c r="AJ487" s="64">
        <f>IF(AN487=0,L487,0)</f>
        <v>0</v>
      </c>
      <c r="AK487" s="64">
        <f>IF(AN487=15,L487,0)</f>
        <v>0</v>
      </c>
      <c r="AL487" s="64">
        <f>IF(AN487=21,L487,0)</f>
        <v>1570</v>
      </c>
      <c r="AN487" s="35">
        <v>21</v>
      </c>
      <c r="AO487" s="35">
        <f>I487*0</f>
        <v>0</v>
      </c>
      <c r="AP487" s="35">
        <f>I487*(1-0)</f>
        <v>785</v>
      </c>
      <c r="AQ487" s="84" t="s">
        <v>144</v>
      </c>
      <c r="AV487" s="35">
        <f>AW487+AX487</f>
        <v>1570</v>
      </c>
      <c r="AW487" s="35">
        <f>H487*AO487</f>
        <v>0</v>
      </c>
      <c r="AX487" s="35">
        <f>H487*AP487</f>
        <v>1570</v>
      </c>
      <c r="AY487" s="86" t="s">
        <v>1046</v>
      </c>
      <c r="AZ487" s="86" t="s">
        <v>1068</v>
      </c>
      <c r="BA487" s="83" t="s">
        <v>1079</v>
      </c>
      <c r="BC487" s="35">
        <f>AW487+AX487</f>
        <v>1570</v>
      </c>
      <c r="BD487" s="35">
        <f>I487/(100-BE487)*100</f>
        <v>785</v>
      </c>
      <c r="BE487" s="35">
        <v>0</v>
      </c>
      <c r="BF487" s="35">
        <f>487</f>
        <v>487</v>
      </c>
      <c r="BH487" s="64">
        <f>H487*AO487</f>
        <v>0</v>
      </c>
      <c r="BI487" s="64">
        <f>H487*AP487</f>
        <v>1570</v>
      </c>
      <c r="BJ487" s="64">
        <f>H487*I487</f>
        <v>1570</v>
      </c>
      <c r="BK487" s="64" t="s">
        <v>1086</v>
      </c>
      <c r="BL487" s="35">
        <v>751</v>
      </c>
    </row>
    <row r="488" spans="1:64" x14ac:dyDescent="0.2">
      <c r="A488" s="19"/>
      <c r="C488" s="59" t="s">
        <v>521</v>
      </c>
      <c r="D488" s="180" t="s">
        <v>911</v>
      </c>
      <c r="E488" s="181"/>
      <c r="F488" s="181"/>
      <c r="G488" s="181"/>
      <c r="H488" s="181"/>
      <c r="I488" s="182"/>
      <c r="J488" s="181"/>
      <c r="K488" s="181"/>
      <c r="L488" s="181"/>
      <c r="M488" s="183"/>
      <c r="N488" s="19"/>
    </row>
    <row r="489" spans="1:64" x14ac:dyDescent="0.2">
      <c r="A489" s="47" t="s">
        <v>361</v>
      </c>
      <c r="B489" s="55" t="s">
        <v>65</v>
      </c>
      <c r="C489" s="55" t="s">
        <v>720</v>
      </c>
      <c r="D489" s="178" t="s">
        <v>912</v>
      </c>
      <c r="E489" s="179"/>
      <c r="F489" s="179"/>
      <c r="G489" s="55" t="s">
        <v>1001</v>
      </c>
      <c r="H489" s="64">
        <v>8</v>
      </c>
      <c r="I489" s="71">
        <v>151</v>
      </c>
      <c r="J489" s="64">
        <f>H489*AO489</f>
        <v>0</v>
      </c>
      <c r="K489" s="64">
        <f>H489*AP489</f>
        <v>1208</v>
      </c>
      <c r="L489" s="64">
        <f>H489*I489</f>
        <v>1208</v>
      </c>
      <c r="M489" s="79"/>
      <c r="N489" s="19"/>
      <c r="Z489" s="35">
        <f>IF(AQ489="5",BJ489,0)</f>
        <v>0</v>
      </c>
      <c r="AB489" s="35">
        <f>IF(AQ489="1",BH489,0)</f>
        <v>0</v>
      </c>
      <c r="AC489" s="35">
        <f>IF(AQ489="1",BI489,0)</f>
        <v>0</v>
      </c>
      <c r="AD489" s="35">
        <f>IF(AQ489="7",BH489,0)</f>
        <v>0</v>
      </c>
      <c r="AE489" s="35">
        <f>IF(AQ489="7",BI489,0)</f>
        <v>1208</v>
      </c>
      <c r="AF489" s="35">
        <f>IF(AQ489="2",BH489,0)</f>
        <v>0</v>
      </c>
      <c r="AG489" s="35">
        <f>IF(AQ489="2",BI489,0)</f>
        <v>0</v>
      </c>
      <c r="AH489" s="35">
        <f>IF(AQ489="0",BJ489,0)</f>
        <v>0</v>
      </c>
      <c r="AI489" s="83" t="s">
        <v>65</v>
      </c>
      <c r="AJ489" s="64">
        <f>IF(AN489=0,L489,0)</f>
        <v>0</v>
      </c>
      <c r="AK489" s="64">
        <f>IF(AN489=15,L489,0)</f>
        <v>0</v>
      </c>
      <c r="AL489" s="64">
        <f>IF(AN489=21,L489,0)</f>
        <v>1208</v>
      </c>
      <c r="AN489" s="35">
        <v>21</v>
      </c>
      <c r="AO489" s="35">
        <f>I489*0</f>
        <v>0</v>
      </c>
      <c r="AP489" s="35">
        <f>I489*(1-0)</f>
        <v>151</v>
      </c>
      <c r="AQ489" s="84" t="s">
        <v>144</v>
      </c>
      <c r="AV489" s="35">
        <f>AW489+AX489</f>
        <v>1208</v>
      </c>
      <c r="AW489" s="35">
        <f>H489*AO489</f>
        <v>0</v>
      </c>
      <c r="AX489" s="35">
        <f>H489*AP489</f>
        <v>1208</v>
      </c>
      <c r="AY489" s="86" t="s">
        <v>1046</v>
      </c>
      <c r="AZ489" s="86" t="s">
        <v>1068</v>
      </c>
      <c r="BA489" s="83" t="s">
        <v>1079</v>
      </c>
      <c r="BC489" s="35">
        <f>AW489+AX489</f>
        <v>1208</v>
      </c>
      <c r="BD489" s="35">
        <f>I489/(100-BE489)*100</f>
        <v>151</v>
      </c>
      <c r="BE489" s="35">
        <v>0</v>
      </c>
      <c r="BF489" s="35">
        <f>489</f>
        <v>489</v>
      </c>
      <c r="BH489" s="64">
        <f>H489*AO489</f>
        <v>0</v>
      </c>
      <c r="BI489" s="64">
        <f>H489*AP489</f>
        <v>1208</v>
      </c>
      <c r="BJ489" s="64">
        <f>H489*I489</f>
        <v>1208</v>
      </c>
      <c r="BK489" s="64" t="s">
        <v>1086</v>
      </c>
      <c r="BL489" s="35">
        <v>751</v>
      </c>
    </row>
    <row r="490" spans="1:64" x14ac:dyDescent="0.2">
      <c r="A490" s="19"/>
      <c r="C490" s="59" t="s">
        <v>521</v>
      </c>
      <c r="D490" s="180" t="s">
        <v>912</v>
      </c>
      <c r="E490" s="181"/>
      <c r="F490" s="181"/>
      <c r="G490" s="181"/>
      <c r="H490" s="181"/>
      <c r="I490" s="182"/>
      <c r="J490" s="181"/>
      <c r="K490" s="181"/>
      <c r="L490" s="181"/>
      <c r="M490" s="183"/>
      <c r="N490" s="19"/>
    </row>
    <row r="491" spans="1:64" x14ac:dyDescent="0.2">
      <c r="A491" s="49" t="s">
        <v>362</v>
      </c>
      <c r="B491" s="57" t="s">
        <v>65</v>
      </c>
      <c r="C491" s="57" t="s">
        <v>721</v>
      </c>
      <c r="D491" s="186" t="s">
        <v>913</v>
      </c>
      <c r="E491" s="187"/>
      <c r="F491" s="187"/>
      <c r="G491" s="57" t="s">
        <v>1001</v>
      </c>
      <c r="H491" s="65">
        <v>8</v>
      </c>
      <c r="I491" s="73">
        <v>210</v>
      </c>
      <c r="J491" s="65">
        <f>H491*AO491</f>
        <v>1680</v>
      </c>
      <c r="K491" s="65">
        <f>H491*AP491</f>
        <v>0</v>
      </c>
      <c r="L491" s="65">
        <f>H491*I491</f>
        <v>1680</v>
      </c>
      <c r="M491" s="81"/>
      <c r="N491" s="19"/>
      <c r="Z491" s="35">
        <f>IF(AQ491="5",BJ491,0)</f>
        <v>0</v>
      </c>
      <c r="AB491" s="35">
        <f>IF(AQ491="1",BH491,0)</f>
        <v>0</v>
      </c>
      <c r="AC491" s="35">
        <f>IF(AQ491="1",BI491,0)</f>
        <v>0</v>
      </c>
      <c r="AD491" s="35">
        <f>IF(AQ491="7",BH491,0)</f>
        <v>1680</v>
      </c>
      <c r="AE491" s="35">
        <f>IF(AQ491="7",BI491,0)</f>
        <v>0</v>
      </c>
      <c r="AF491" s="35">
        <f>IF(AQ491="2",BH491,0)</f>
        <v>0</v>
      </c>
      <c r="AG491" s="35">
        <f>IF(AQ491="2",BI491,0)</f>
        <v>0</v>
      </c>
      <c r="AH491" s="35">
        <f>IF(AQ491="0",BJ491,0)</f>
        <v>0</v>
      </c>
      <c r="AI491" s="83" t="s">
        <v>65</v>
      </c>
      <c r="AJ491" s="65">
        <f>IF(AN491=0,L491,0)</f>
        <v>0</v>
      </c>
      <c r="AK491" s="65">
        <f>IF(AN491=15,L491,0)</f>
        <v>0</v>
      </c>
      <c r="AL491" s="65">
        <f>IF(AN491=21,L491,0)</f>
        <v>1680</v>
      </c>
      <c r="AN491" s="35">
        <v>21</v>
      </c>
      <c r="AO491" s="35">
        <f>I491*1</f>
        <v>210</v>
      </c>
      <c r="AP491" s="35">
        <f>I491*(1-1)</f>
        <v>0</v>
      </c>
      <c r="AQ491" s="85" t="s">
        <v>144</v>
      </c>
      <c r="AV491" s="35">
        <f>AW491+AX491</f>
        <v>1680</v>
      </c>
      <c r="AW491" s="35">
        <f>H491*AO491</f>
        <v>1680</v>
      </c>
      <c r="AX491" s="35">
        <f>H491*AP491</f>
        <v>0</v>
      </c>
      <c r="AY491" s="86" t="s">
        <v>1046</v>
      </c>
      <c r="AZ491" s="86" t="s">
        <v>1068</v>
      </c>
      <c r="BA491" s="83" t="s">
        <v>1079</v>
      </c>
      <c r="BC491" s="35">
        <f>AW491+AX491</f>
        <v>1680</v>
      </c>
      <c r="BD491" s="35">
        <f>I491/(100-BE491)*100</f>
        <v>210</v>
      </c>
      <c r="BE491" s="35">
        <v>0</v>
      </c>
      <c r="BF491" s="35">
        <f>491</f>
        <v>491</v>
      </c>
      <c r="BH491" s="65">
        <f>H491*AO491</f>
        <v>1680</v>
      </c>
      <c r="BI491" s="65">
        <f>H491*AP491</f>
        <v>0</v>
      </c>
      <c r="BJ491" s="65">
        <f>H491*I491</f>
        <v>1680</v>
      </c>
      <c r="BK491" s="65" t="s">
        <v>1001</v>
      </c>
      <c r="BL491" s="35">
        <v>751</v>
      </c>
    </row>
    <row r="492" spans="1:64" x14ac:dyDescent="0.2">
      <c r="A492" s="19"/>
      <c r="C492" s="59" t="s">
        <v>521</v>
      </c>
      <c r="D492" s="180" t="s">
        <v>913</v>
      </c>
      <c r="E492" s="181"/>
      <c r="F492" s="181"/>
      <c r="G492" s="181"/>
      <c r="H492" s="181"/>
      <c r="I492" s="182"/>
      <c r="J492" s="181"/>
      <c r="K492" s="181"/>
      <c r="L492" s="181"/>
      <c r="M492" s="183"/>
      <c r="N492" s="19"/>
    </row>
    <row r="493" spans="1:64" x14ac:dyDescent="0.2">
      <c r="A493" s="47" t="s">
        <v>363</v>
      </c>
      <c r="B493" s="55" t="s">
        <v>65</v>
      </c>
      <c r="C493" s="55" t="s">
        <v>722</v>
      </c>
      <c r="D493" s="178" t="s">
        <v>914</v>
      </c>
      <c r="E493" s="179"/>
      <c r="F493" s="179"/>
      <c r="G493" s="55" t="s">
        <v>1001</v>
      </c>
      <c r="H493" s="64">
        <v>6</v>
      </c>
      <c r="I493" s="71">
        <v>105</v>
      </c>
      <c r="J493" s="64">
        <f>H493*AO493</f>
        <v>0</v>
      </c>
      <c r="K493" s="64">
        <f>H493*AP493</f>
        <v>630</v>
      </c>
      <c r="L493" s="64">
        <f>H493*I493</f>
        <v>630</v>
      </c>
      <c r="M493" s="79"/>
      <c r="N493" s="19"/>
      <c r="Z493" s="35">
        <f>IF(AQ493="5",BJ493,0)</f>
        <v>0</v>
      </c>
      <c r="AB493" s="35">
        <f>IF(AQ493="1",BH493,0)</f>
        <v>0</v>
      </c>
      <c r="AC493" s="35">
        <f>IF(AQ493="1",BI493,0)</f>
        <v>0</v>
      </c>
      <c r="AD493" s="35">
        <f>IF(AQ493="7",BH493,0)</f>
        <v>0</v>
      </c>
      <c r="AE493" s="35">
        <f>IF(AQ493="7",BI493,0)</f>
        <v>630</v>
      </c>
      <c r="AF493" s="35">
        <f>IF(AQ493="2",BH493,0)</f>
        <v>0</v>
      </c>
      <c r="AG493" s="35">
        <f>IF(AQ493="2",BI493,0)</f>
        <v>0</v>
      </c>
      <c r="AH493" s="35">
        <f>IF(AQ493="0",BJ493,0)</f>
        <v>0</v>
      </c>
      <c r="AI493" s="83" t="s">
        <v>65</v>
      </c>
      <c r="AJ493" s="64">
        <f>IF(AN493=0,L493,0)</f>
        <v>0</v>
      </c>
      <c r="AK493" s="64">
        <f>IF(AN493=15,L493,0)</f>
        <v>0</v>
      </c>
      <c r="AL493" s="64">
        <f>IF(AN493=21,L493,0)</f>
        <v>630</v>
      </c>
      <c r="AN493" s="35">
        <v>21</v>
      </c>
      <c r="AO493" s="35">
        <f>I493*0</f>
        <v>0</v>
      </c>
      <c r="AP493" s="35">
        <f>I493*(1-0)</f>
        <v>105</v>
      </c>
      <c r="AQ493" s="84" t="s">
        <v>144</v>
      </c>
      <c r="AV493" s="35">
        <f>AW493+AX493</f>
        <v>630</v>
      </c>
      <c r="AW493" s="35">
        <f>H493*AO493</f>
        <v>0</v>
      </c>
      <c r="AX493" s="35">
        <f>H493*AP493</f>
        <v>630</v>
      </c>
      <c r="AY493" s="86" t="s">
        <v>1046</v>
      </c>
      <c r="AZ493" s="86" t="s">
        <v>1068</v>
      </c>
      <c r="BA493" s="83" t="s">
        <v>1079</v>
      </c>
      <c r="BC493" s="35">
        <f>AW493+AX493</f>
        <v>630</v>
      </c>
      <c r="BD493" s="35">
        <f>I493/(100-BE493)*100</f>
        <v>105</v>
      </c>
      <c r="BE493" s="35">
        <v>0</v>
      </c>
      <c r="BF493" s="35">
        <f>493</f>
        <v>493</v>
      </c>
      <c r="BH493" s="64">
        <f>H493*AO493</f>
        <v>0</v>
      </c>
      <c r="BI493" s="64">
        <f>H493*AP493</f>
        <v>630</v>
      </c>
      <c r="BJ493" s="64">
        <f>H493*I493</f>
        <v>630</v>
      </c>
      <c r="BK493" s="64" t="s">
        <v>1086</v>
      </c>
      <c r="BL493" s="35">
        <v>751</v>
      </c>
    </row>
    <row r="494" spans="1:64" x14ac:dyDescent="0.2">
      <c r="A494" s="19"/>
      <c r="C494" s="59" t="s">
        <v>521</v>
      </c>
      <c r="D494" s="180" t="s">
        <v>915</v>
      </c>
      <c r="E494" s="181"/>
      <c r="F494" s="181"/>
      <c r="G494" s="181"/>
      <c r="H494" s="181"/>
      <c r="I494" s="182"/>
      <c r="J494" s="181"/>
      <c r="K494" s="181"/>
      <c r="L494" s="181"/>
      <c r="M494" s="183"/>
      <c r="N494" s="19"/>
    </row>
    <row r="495" spans="1:64" x14ac:dyDescent="0.2">
      <c r="A495" s="49" t="s">
        <v>364</v>
      </c>
      <c r="B495" s="57" t="s">
        <v>65</v>
      </c>
      <c r="C495" s="57" t="s">
        <v>723</v>
      </c>
      <c r="D495" s="186" t="s">
        <v>916</v>
      </c>
      <c r="E495" s="187"/>
      <c r="F495" s="187"/>
      <c r="G495" s="57" t="s">
        <v>1001</v>
      </c>
      <c r="H495" s="65">
        <v>6</v>
      </c>
      <c r="I495" s="73">
        <v>288</v>
      </c>
      <c r="J495" s="65">
        <f>H495*AO495</f>
        <v>1728</v>
      </c>
      <c r="K495" s="65">
        <f>H495*AP495</f>
        <v>0</v>
      </c>
      <c r="L495" s="65">
        <f>H495*I495</f>
        <v>1728</v>
      </c>
      <c r="M495" s="81"/>
      <c r="N495" s="19"/>
      <c r="Z495" s="35">
        <f>IF(AQ495="5",BJ495,0)</f>
        <v>0</v>
      </c>
      <c r="AB495" s="35">
        <f>IF(AQ495="1",BH495,0)</f>
        <v>0</v>
      </c>
      <c r="AC495" s="35">
        <f>IF(AQ495="1",BI495,0)</f>
        <v>0</v>
      </c>
      <c r="AD495" s="35">
        <f>IF(AQ495="7",BH495,0)</f>
        <v>1728</v>
      </c>
      <c r="AE495" s="35">
        <f>IF(AQ495="7",BI495,0)</f>
        <v>0</v>
      </c>
      <c r="AF495" s="35">
        <f>IF(AQ495="2",BH495,0)</f>
        <v>0</v>
      </c>
      <c r="AG495" s="35">
        <f>IF(AQ495="2",BI495,0)</f>
        <v>0</v>
      </c>
      <c r="AH495" s="35">
        <f>IF(AQ495="0",BJ495,0)</f>
        <v>0</v>
      </c>
      <c r="AI495" s="83" t="s">
        <v>65</v>
      </c>
      <c r="AJ495" s="65">
        <f>IF(AN495=0,L495,0)</f>
        <v>0</v>
      </c>
      <c r="AK495" s="65">
        <f>IF(AN495=15,L495,0)</f>
        <v>0</v>
      </c>
      <c r="AL495" s="65">
        <f>IF(AN495=21,L495,0)</f>
        <v>1728</v>
      </c>
      <c r="AN495" s="35">
        <v>21</v>
      </c>
      <c r="AO495" s="35">
        <f>I495*1</f>
        <v>288</v>
      </c>
      <c r="AP495" s="35">
        <f>I495*(1-1)</f>
        <v>0</v>
      </c>
      <c r="AQ495" s="85" t="s">
        <v>144</v>
      </c>
      <c r="AV495" s="35">
        <f>AW495+AX495</f>
        <v>1728</v>
      </c>
      <c r="AW495" s="35">
        <f>H495*AO495</f>
        <v>1728</v>
      </c>
      <c r="AX495" s="35">
        <f>H495*AP495</f>
        <v>0</v>
      </c>
      <c r="AY495" s="86" t="s">
        <v>1046</v>
      </c>
      <c r="AZ495" s="86" t="s">
        <v>1068</v>
      </c>
      <c r="BA495" s="83" t="s">
        <v>1079</v>
      </c>
      <c r="BC495" s="35">
        <f>AW495+AX495</f>
        <v>1728</v>
      </c>
      <c r="BD495" s="35">
        <f>I495/(100-BE495)*100</f>
        <v>288</v>
      </c>
      <c r="BE495" s="35">
        <v>0</v>
      </c>
      <c r="BF495" s="35">
        <f>495</f>
        <v>495</v>
      </c>
      <c r="BH495" s="65">
        <f>H495*AO495</f>
        <v>1728</v>
      </c>
      <c r="BI495" s="65">
        <f>H495*AP495</f>
        <v>0</v>
      </c>
      <c r="BJ495" s="65">
        <f>H495*I495</f>
        <v>1728</v>
      </c>
      <c r="BK495" s="65" t="s">
        <v>1001</v>
      </c>
      <c r="BL495" s="35">
        <v>751</v>
      </c>
    </row>
    <row r="496" spans="1:64" x14ac:dyDescent="0.2">
      <c r="A496" s="19"/>
      <c r="C496" s="59" t="s">
        <v>521</v>
      </c>
      <c r="D496" s="180" t="s">
        <v>916</v>
      </c>
      <c r="E496" s="181"/>
      <c r="F496" s="181"/>
      <c r="G496" s="181"/>
      <c r="H496" s="181"/>
      <c r="I496" s="182"/>
      <c r="J496" s="181"/>
      <c r="K496" s="181"/>
      <c r="L496" s="181"/>
      <c r="M496" s="183"/>
      <c r="N496" s="19"/>
    </row>
    <row r="497" spans="1:64" x14ac:dyDescent="0.2">
      <c r="A497" s="49" t="s">
        <v>365</v>
      </c>
      <c r="B497" s="57" t="s">
        <v>65</v>
      </c>
      <c r="C497" s="57" t="s">
        <v>724</v>
      </c>
      <c r="D497" s="186" t="s">
        <v>917</v>
      </c>
      <c r="E497" s="187"/>
      <c r="F497" s="187"/>
      <c r="G497" s="57" t="s">
        <v>1007</v>
      </c>
      <c r="H497" s="65">
        <v>1</v>
      </c>
      <c r="I497" s="73">
        <v>440</v>
      </c>
      <c r="J497" s="65">
        <f>H497*AO497</f>
        <v>440</v>
      </c>
      <c r="K497" s="65">
        <f>H497*AP497</f>
        <v>0</v>
      </c>
      <c r="L497" s="65">
        <f>H497*I497</f>
        <v>440</v>
      </c>
      <c r="M497" s="81"/>
      <c r="N497" s="19"/>
      <c r="Z497" s="35">
        <f>IF(AQ497="5",BJ497,0)</f>
        <v>0</v>
      </c>
      <c r="AB497" s="35">
        <f>IF(AQ497="1",BH497,0)</f>
        <v>0</v>
      </c>
      <c r="AC497" s="35">
        <f>IF(AQ497="1",BI497,0)</f>
        <v>0</v>
      </c>
      <c r="AD497" s="35">
        <f>IF(AQ497="7",BH497,0)</f>
        <v>440</v>
      </c>
      <c r="AE497" s="35">
        <f>IF(AQ497="7",BI497,0)</f>
        <v>0</v>
      </c>
      <c r="AF497" s="35">
        <f>IF(AQ497="2",BH497,0)</f>
        <v>0</v>
      </c>
      <c r="AG497" s="35">
        <f>IF(AQ497="2",BI497,0)</f>
        <v>0</v>
      </c>
      <c r="AH497" s="35">
        <f>IF(AQ497="0",BJ497,0)</f>
        <v>0</v>
      </c>
      <c r="AI497" s="83" t="s">
        <v>65</v>
      </c>
      <c r="AJ497" s="65">
        <f>IF(AN497=0,L497,0)</f>
        <v>0</v>
      </c>
      <c r="AK497" s="65">
        <f>IF(AN497=15,L497,0)</f>
        <v>0</v>
      </c>
      <c r="AL497" s="65">
        <f>IF(AN497=21,L497,0)</f>
        <v>440</v>
      </c>
      <c r="AN497" s="35">
        <v>21</v>
      </c>
      <c r="AO497" s="35">
        <f>I497*1</f>
        <v>440</v>
      </c>
      <c r="AP497" s="35">
        <f>I497*(1-1)</f>
        <v>0</v>
      </c>
      <c r="AQ497" s="85" t="s">
        <v>144</v>
      </c>
      <c r="AV497" s="35">
        <f>AW497+AX497</f>
        <v>440</v>
      </c>
      <c r="AW497" s="35">
        <f>H497*AO497</f>
        <v>440</v>
      </c>
      <c r="AX497" s="35">
        <f>H497*AP497</f>
        <v>0</v>
      </c>
      <c r="AY497" s="86" t="s">
        <v>1046</v>
      </c>
      <c r="AZ497" s="86" t="s">
        <v>1068</v>
      </c>
      <c r="BA497" s="83" t="s">
        <v>1079</v>
      </c>
      <c r="BC497" s="35">
        <f>AW497+AX497</f>
        <v>440</v>
      </c>
      <c r="BD497" s="35">
        <f>I497/(100-BE497)*100</f>
        <v>440.00000000000006</v>
      </c>
      <c r="BE497" s="35">
        <v>0</v>
      </c>
      <c r="BF497" s="35">
        <f>497</f>
        <v>497</v>
      </c>
      <c r="BH497" s="65">
        <f>H497*AO497</f>
        <v>440</v>
      </c>
      <c r="BI497" s="65">
        <f>H497*AP497</f>
        <v>0</v>
      </c>
      <c r="BJ497" s="65">
        <f>H497*I497</f>
        <v>440</v>
      </c>
      <c r="BK497" s="65" t="s">
        <v>1001</v>
      </c>
      <c r="BL497" s="35">
        <v>751</v>
      </c>
    </row>
    <row r="498" spans="1:64" x14ac:dyDescent="0.2">
      <c r="A498" s="19"/>
      <c r="C498" s="59" t="s">
        <v>521</v>
      </c>
      <c r="D498" s="180" t="s">
        <v>917</v>
      </c>
      <c r="E498" s="181"/>
      <c r="F498" s="181"/>
      <c r="G498" s="181"/>
      <c r="H498" s="181"/>
      <c r="I498" s="182"/>
      <c r="J498" s="181"/>
      <c r="K498" s="181"/>
      <c r="L498" s="181"/>
      <c r="M498" s="183"/>
      <c r="N498" s="19"/>
    </row>
    <row r="499" spans="1:64" x14ac:dyDescent="0.2">
      <c r="A499" s="47" t="s">
        <v>366</v>
      </c>
      <c r="B499" s="55" t="s">
        <v>65</v>
      </c>
      <c r="C499" s="55" t="s">
        <v>725</v>
      </c>
      <c r="D499" s="178" t="s">
        <v>918</v>
      </c>
      <c r="E499" s="179"/>
      <c r="F499" s="179"/>
      <c r="G499" s="55" t="s">
        <v>1001</v>
      </c>
      <c r="H499" s="64">
        <v>2</v>
      </c>
      <c r="I499" s="71">
        <v>145</v>
      </c>
      <c r="J499" s="64">
        <f>H499*AO499</f>
        <v>0</v>
      </c>
      <c r="K499" s="64">
        <f>H499*AP499</f>
        <v>290</v>
      </c>
      <c r="L499" s="64">
        <f>H499*I499</f>
        <v>290</v>
      </c>
      <c r="M499" s="79"/>
      <c r="N499" s="19"/>
      <c r="Z499" s="35">
        <f>IF(AQ499="5",BJ499,0)</f>
        <v>0</v>
      </c>
      <c r="AB499" s="35">
        <f>IF(AQ499="1",BH499,0)</f>
        <v>0</v>
      </c>
      <c r="AC499" s="35">
        <f>IF(AQ499="1",BI499,0)</f>
        <v>0</v>
      </c>
      <c r="AD499" s="35">
        <f>IF(AQ499="7",BH499,0)</f>
        <v>0</v>
      </c>
      <c r="AE499" s="35">
        <f>IF(AQ499="7",BI499,0)</f>
        <v>290</v>
      </c>
      <c r="AF499" s="35">
        <f>IF(AQ499="2",BH499,0)</f>
        <v>0</v>
      </c>
      <c r="AG499" s="35">
        <f>IF(AQ499="2",BI499,0)</f>
        <v>0</v>
      </c>
      <c r="AH499" s="35">
        <f>IF(AQ499="0",BJ499,0)</f>
        <v>0</v>
      </c>
      <c r="AI499" s="83" t="s">
        <v>65</v>
      </c>
      <c r="AJ499" s="64">
        <f>IF(AN499=0,L499,0)</f>
        <v>0</v>
      </c>
      <c r="AK499" s="64">
        <f>IF(AN499=15,L499,0)</f>
        <v>0</v>
      </c>
      <c r="AL499" s="64">
        <f>IF(AN499=21,L499,0)</f>
        <v>290</v>
      </c>
      <c r="AN499" s="35">
        <v>21</v>
      </c>
      <c r="AO499" s="35">
        <f>I499*0</f>
        <v>0</v>
      </c>
      <c r="AP499" s="35">
        <f>I499*(1-0)</f>
        <v>145</v>
      </c>
      <c r="AQ499" s="84" t="s">
        <v>144</v>
      </c>
      <c r="AV499" s="35">
        <f>AW499+AX499</f>
        <v>290</v>
      </c>
      <c r="AW499" s="35">
        <f>H499*AO499</f>
        <v>0</v>
      </c>
      <c r="AX499" s="35">
        <f>H499*AP499</f>
        <v>290</v>
      </c>
      <c r="AY499" s="86" t="s">
        <v>1046</v>
      </c>
      <c r="AZ499" s="86" t="s">
        <v>1068</v>
      </c>
      <c r="BA499" s="83" t="s">
        <v>1079</v>
      </c>
      <c r="BC499" s="35">
        <f>AW499+AX499</f>
        <v>290</v>
      </c>
      <c r="BD499" s="35">
        <f>I499/(100-BE499)*100</f>
        <v>145</v>
      </c>
      <c r="BE499" s="35">
        <v>0</v>
      </c>
      <c r="BF499" s="35">
        <f>499</f>
        <v>499</v>
      </c>
      <c r="BH499" s="64">
        <f>H499*AO499</f>
        <v>0</v>
      </c>
      <c r="BI499" s="64">
        <f>H499*AP499</f>
        <v>290</v>
      </c>
      <c r="BJ499" s="64">
        <f>H499*I499</f>
        <v>290</v>
      </c>
      <c r="BK499" s="64" t="s">
        <v>1086</v>
      </c>
      <c r="BL499" s="35">
        <v>751</v>
      </c>
    </row>
    <row r="500" spans="1:64" x14ac:dyDescent="0.2">
      <c r="A500" s="19"/>
      <c r="C500" s="59" t="s">
        <v>521</v>
      </c>
      <c r="D500" s="180" t="s">
        <v>919</v>
      </c>
      <c r="E500" s="181"/>
      <c r="F500" s="181"/>
      <c r="G500" s="181"/>
      <c r="H500" s="181"/>
      <c r="I500" s="182"/>
      <c r="J500" s="181"/>
      <c r="K500" s="181"/>
      <c r="L500" s="181"/>
      <c r="M500" s="183"/>
      <c r="N500" s="19"/>
    </row>
    <row r="501" spans="1:64" x14ac:dyDescent="0.2">
      <c r="A501" s="49" t="s">
        <v>367</v>
      </c>
      <c r="B501" s="57" t="s">
        <v>65</v>
      </c>
      <c r="C501" s="57" t="s">
        <v>726</v>
      </c>
      <c r="D501" s="186" t="s">
        <v>920</v>
      </c>
      <c r="E501" s="187"/>
      <c r="F501" s="187"/>
      <c r="G501" s="57" t="s">
        <v>1001</v>
      </c>
      <c r="H501" s="65">
        <v>2</v>
      </c>
      <c r="I501" s="73">
        <v>135</v>
      </c>
      <c r="J501" s="65">
        <f>H501*AO501</f>
        <v>270</v>
      </c>
      <c r="K501" s="65">
        <f>H501*AP501</f>
        <v>0</v>
      </c>
      <c r="L501" s="65">
        <f>H501*I501</f>
        <v>270</v>
      </c>
      <c r="M501" s="81"/>
      <c r="N501" s="19"/>
      <c r="Z501" s="35">
        <f>IF(AQ501="5",BJ501,0)</f>
        <v>0</v>
      </c>
      <c r="AB501" s="35">
        <f>IF(AQ501="1",BH501,0)</f>
        <v>0</v>
      </c>
      <c r="AC501" s="35">
        <f>IF(AQ501="1",BI501,0)</f>
        <v>0</v>
      </c>
      <c r="AD501" s="35">
        <f>IF(AQ501="7",BH501,0)</f>
        <v>270</v>
      </c>
      <c r="AE501" s="35">
        <f>IF(AQ501="7",BI501,0)</f>
        <v>0</v>
      </c>
      <c r="AF501" s="35">
        <f>IF(AQ501="2",BH501,0)</f>
        <v>0</v>
      </c>
      <c r="AG501" s="35">
        <f>IF(AQ501="2",BI501,0)</f>
        <v>0</v>
      </c>
      <c r="AH501" s="35">
        <f>IF(AQ501="0",BJ501,0)</f>
        <v>0</v>
      </c>
      <c r="AI501" s="83" t="s">
        <v>65</v>
      </c>
      <c r="AJ501" s="65">
        <f>IF(AN501=0,L501,0)</f>
        <v>0</v>
      </c>
      <c r="AK501" s="65">
        <f>IF(AN501=15,L501,0)</f>
        <v>0</v>
      </c>
      <c r="AL501" s="65">
        <f>IF(AN501=21,L501,0)</f>
        <v>270</v>
      </c>
      <c r="AN501" s="35">
        <v>21</v>
      </c>
      <c r="AO501" s="35">
        <f>I501*1</f>
        <v>135</v>
      </c>
      <c r="AP501" s="35">
        <f>I501*(1-1)</f>
        <v>0</v>
      </c>
      <c r="AQ501" s="85" t="s">
        <v>144</v>
      </c>
      <c r="AV501" s="35">
        <f>AW501+AX501</f>
        <v>270</v>
      </c>
      <c r="AW501" s="35">
        <f>H501*AO501</f>
        <v>270</v>
      </c>
      <c r="AX501" s="35">
        <f>H501*AP501</f>
        <v>0</v>
      </c>
      <c r="AY501" s="86" t="s">
        <v>1046</v>
      </c>
      <c r="AZ501" s="86" t="s">
        <v>1068</v>
      </c>
      <c r="BA501" s="83" t="s">
        <v>1079</v>
      </c>
      <c r="BC501" s="35">
        <f>AW501+AX501</f>
        <v>270</v>
      </c>
      <c r="BD501" s="35">
        <f>I501/(100-BE501)*100</f>
        <v>135</v>
      </c>
      <c r="BE501" s="35">
        <v>0</v>
      </c>
      <c r="BF501" s="35">
        <f>501</f>
        <v>501</v>
      </c>
      <c r="BH501" s="65">
        <f>H501*AO501</f>
        <v>270</v>
      </c>
      <c r="BI501" s="65">
        <f>H501*AP501</f>
        <v>0</v>
      </c>
      <c r="BJ501" s="65">
        <f>H501*I501</f>
        <v>270</v>
      </c>
      <c r="BK501" s="65" t="s">
        <v>1001</v>
      </c>
      <c r="BL501" s="35">
        <v>751</v>
      </c>
    </row>
    <row r="502" spans="1:64" x14ac:dyDescent="0.2">
      <c r="A502" s="19"/>
      <c r="C502" s="59" t="s">
        <v>521</v>
      </c>
      <c r="D502" s="180" t="s">
        <v>920</v>
      </c>
      <c r="E502" s="181"/>
      <c r="F502" s="181"/>
      <c r="G502" s="181"/>
      <c r="H502" s="181"/>
      <c r="I502" s="182"/>
      <c r="J502" s="181"/>
      <c r="K502" s="181"/>
      <c r="L502" s="181"/>
      <c r="M502" s="183"/>
      <c r="N502" s="19"/>
    </row>
    <row r="503" spans="1:64" x14ac:dyDescent="0.2">
      <c r="A503" s="47" t="s">
        <v>368</v>
      </c>
      <c r="B503" s="55" t="s">
        <v>65</v>
      </c>
      <c r="C503" s="55" t="s">
        <v>727</v>
      </c>
      <c r="D503" s="178" t="s">
        <v>921</v>
      </c>
      <c r="E503" s="179"/>
      <c r="F503" s="179"/>
      <c r="G503" s="55" t="s">
        <v>1001</v>
      </c>
      <c r="H503" s="64">
        <v>8</v>
      </c>
      <c r="I503" s="71">
        <v>207</v>
      </c>
      <c r="J503" s="64">
        <f>H503*AO503</f>
        <v>0</v>
      </c>
      <c r="K503" s="64">
        <f>H503*AP503</f>
        <v>1656</v>
      </c>
      <c r="L503" s="64">
        <f>H503*I503</f>
        <v>1656</v>
      </c>
      <c r="M503" s="79"/>
      <c r="N503" s="19"/>
      <c r="Z503" s="35">
        <f>IF(AQ503="5",BJ503,0)</f>
        <v>0</v>
      </c>
      <c r="AB503" s="35">
        <f>IF(AQ503="1",BH503,0)</f>
        <v>0</v>
      </c>
      <c r="AC503" s="35">
        <f>IF(AQ503="1",BI503,0)</f>
        <v>0</v>
      </c>
      <c r="AD503" s="35">
        <f>IF(AQ503="7",BH503,0)</f>
        <v>0</v>
      </c>
      <c r="AE503" s="35">
        <f>IF(AQ503="7",BI503,0)</f>
        <v>1656</v>
      </c>
      <c r="AF503" s="35">
        <f>IF(AQ503="2",BH503,0)</f>
        <v>0</v>
      </c>
      <c r="AG503" s="35">
        <f>IF(AQ503="2",BI503,0)</f>
        <v>0</v>
      </c>
      <c r="AH503" s="35">
        <f>IF(AQ503="0",BJ503,0)</f>
        <v>0</v>
      </c>
      <c r="AI503" s="83" t="s">
        <v>65</v>
      </c>
      <c r="AJ503" s="64">
        <f>IF(AN503=0,L503,0)</f>
        <v>0</v>
      </c>
      <c r="AK503" s="64">
        <f>IF(AN503=15,L503,0)</f>
        <v>0</v>
      </c>
      <c r="AL503" s="64">
        <f>IF(AN503=21,L503,0)</f>
        <v>1656</v>
      </c>
      <c r="AN503" s="35">
        <v>21</v>
      </c>
      <c r="AO503" s="35">
        <f>I503*0</f>
        <v>0</v>
      </c>
      <c r="AP503" s="35">
        <f>I503*(1-0)</f>
        <v>207</v>
      </c>
      <c r="AQ503" s="84" t="s">
        <v>144</v>
      </c>
      <c r="AV503" s="35">
        <f>AW503+AX503</f>
        <v>1656</v>
      </c>
      <c r="AW503" s="35">
        <f>H503*AO503</f>
        <v>0</v>
      </c>
      <c r="AX503" s="35">
        <f>H503*AP503</f>
        <v>1656</v>
      </c>
      <c r="AY503" s="86" t="s">
        <v>1046</v>
      </c>
      <c r="AZ503" s="86" t="s">
        <v>1068</v>
      </c>
      <c r="BA503" s="83" t="s">
        <v>1079</v>
      </c>
      <c r="BC503" s="35">
        <f>AW503+AX503</f>
        <v>1656</v>
      </c>
      <c r="BD503" s="35">
        <f>I503/(100-BE503)*100</f>
        <v>206.99999999999997</v>
      </c>
      <c r="BE503" s="35">
        <v>0</v>
      </c>
      <c r="BF503" s="35">
        <f>503</f>
        <v>503</v>
      </c>
      <c r="BH503" s="64">
        <f>H503*AO503</f>
        <v>0</v>
      </c>
      <c r="BI503" s="64">
        <f>H503*AP503</f>
        <v>1656</v>
      </c>
      <c r="BJ503" s="64">
        <f>H503*I503</f>
        <v>1656</v>
      </c>
      <c r="BK503" s="64" t="s">
        <v>1086</v>
      </c>
      <c r="BL503" s="35">
        <v>751</v>
      </c>
    </row>
    <row r="504" spans="1:64" x14ac:dyDescent="0.2">
      <c r="A504" s="19"/>
      <c r="C504" s="59" t="s">
        <v>521</v>
      </c>
      <c r="D504" s="180" t="s">
        <v>921</v>
      </c>
      <c r="E504" s="181"/>
      <c r="F504" s="181"/>
      <c r="G504" s="181"/>
      <c r="H504" s="181"/>
      <c r="I504" s="182"/>
      <c r="J504" s="181"/>
      <c r="K504" s="181"/>
      <c r="L504" s="181"/>
      <c r="M504" s="183"/>
      <c r="N504" s="19"/>
    </row>
    <row r="505" spans="1:64" x14ac:dyDescent="0.2">
      <c r="A505" s="49" t="s">
        <v>369</v>
      </c>
      <c r="B505" s="57" t="s">
        <v>65</v>
      </c>
      <c r="C505" s="57" t="s">
        <v>728</v>
      </c>
      <c r="D505" s="186" t="s">
        <v>922</v>
      </c>
      <c r="E505" s="187"/>
      <c r="F505" s="187"/>
      <c r="G505" s="57" t="s">
        <v>1001</v>
      </c>
      <c r="H505" s="65">
        <v>8</v>
      </c>
      <c r="I505" s="73">
        <v>318</v>
      </c>
      <c r="J505" s="65">
        <f>H505*AO505</f>
        <v>2544</v>
      </c>
      <c r="K505" s="65">
        <f>H505*AP505</f>
        <v>0</v>
      </c>
      <c r="L505" s="65">
        <f>H505*I505</f>
        <v>2544</v>
      </c>
      <c r="M505" s="81"/>
      <c r="N505" s="19"/>
      <c r="Z505" s="35">
        <f>IF(AQ505="5",BJ505,0)</f>
        <v>0</v>
      </c>
      <c r="AB505" s="35">
        <f>IF(AQ505="1",BH505,0)</f>
        <v>0</v>
      </c>
      <c r="AC505" s="35">
        <f>IF(AQ505="1",BI505,0)</f>
        <v>0</v>
      </c>
      <c r="AD505" s="35">
        <f>IF(AQ505="7",BH505,0)</f>
        <v>2544</v>
      </c>
      <c r="AE505" s="35">
        <f>IF(AQ505="7",BI505,0)</f>
        <v>0</v>
      </c>
      <c r="AF505" s="35">
        <f>IF(AQ505="2",BH505,0)</f>
        <v>0</v>
      </c>
      <c r="AG505" s="35">
        <f>IF(AQ505="2",BI505,0)</f>
        <v>0</v>
      </c>
      <c r="AH505" s="35">
        <f>IF(AQ505="0",BJ505,0)</f>
        <v>0</v>
      </c>
      <c r="AI505" s="83" t="s">
        <v>65</v>
      </c>
      <c r="AJ505" s="65">
        <f>IF(AN505=0,L505,0)</f>
        <v>0</v>
      </c>
      <c r="AK505" s="65">
        <f>IF(AN505=15,L505,0)</f>
        <v>0</v>
      </c>
      <c r="AL505" s="65">
        <f>IF(AN505=21,L505,0)</f>
        <v>2544</v>
      </c>
      <c r="AN505" s="35">
        <v>21</v>
      </c>
      <c r="AO505" s="35">
        <f>I505*1</f>
        <v>318</v>
      </c>
      <c r="AP505" s="35">
        <f>I505*(1-1)</f>
        <v>0</v>
      </c>
      <c r="AQ505" s="85" t="s">
        <v>144</v>
      </c>
      <c r="AV505" s="35">
        <f>AW505+AX505</f>
        <v>2544</v>
      </c>
      <c r="AW505" s="35">
        <f>H505*AO505</f>
        <v>2544</v>
      </c>
      <c r="AX505" s="35">
        <f>H505*AP505</f>
        <v>0</v>
      </c>
      <c r="AY505" s="86" t="s">
        <v>1046</v>
      </c>
      <c r="AZ505" s="86" t="s">
        <v>1068</v>
      </c>
      <c r="BA505" s="83" t="s">
        <v>1079</v>
      </c>
      <c r="BC505" s="35">
        <f>AW505+AX505</f>
        <v>2544</v>
      </c>
      <c r="BD505" s="35">
        <f>I505/(100-BE505)*100</f>
        <v>318</v>
      </c>
      <c r="BE505" s="35">
        <v>0</v>
      </c>
      <c r="BF505" s="35">
        <f>505</f>
        <v>505</v>
      </c>
      <c r="BH505" s="65">
        <f>H505*AO505</f>
        <v>2544</v>
      </c>
      <c r="BI505" s="65">
        <f>H505*AP505</f>
        <v>0</v>
      </c>
      <c r="BJ505" s="65">
        <f>H505*I505</f>
        <v>2544</v>
      </c>
      <c r="BK505" s="65" t="s">
        <v>1001</v>
      </c>
      <c r="BL505" s="35">
        <v>751</v>
      </c>
    </row>
    <row r="506" spans="1:64" x14ac:dyDescent="0.2">
      <c r="A506" s="19"/>
      <c r="C506" s="59" t="s">
        <v>521</v>
      </c>
      <c r="D506" s="180" t="s">
        <v>922</v>
      </c>
      <c r="E506" s="181"/>
      <c r="F506" s="181"/>
      <c r="G506" s="181"/>
      <c r="H506" s="181"/>
      <c r="I506" s="182"/>
      <c r="J506" s="181"/>
      <c r="K506" s="181"/>
      <c r="L506" s="181"/>
      <c r="M506" s="183"/>
      <c r="N506" s="19"/>
    </row>
    <row r="507" spans="1:64" x14ac:dyDescent="0.2">
      <c r="A507" s="47" t="s">
        <v>370</v>
      </c>
      <c r="B507" s="55" t="s">
        <v>65</v>
      </c>
      <c r="C507" s="55" t="s">
        <v>592</v>
      </c>
      <c r="D507" s="178" t="s">
        <v>923</v>
      </c>
      <c r="E507" s="179"/>
      <c r="F507" s="179"/>
      <c r="G507" s="55" t="s">
        <v>1003</v>
      </c>
      <c r="H507" s="64">
        <v>2</v>
      </c>
      <c r="I507" s="71">
        <v>99</v>
      </c>
      <c r="J507" s="64">
        <f>H507*AO507</f>
        <v>0</v>
      </c>
      <c r="K507" s="64">
        <f>H507*AP507</f>
        <v>198</v>
      </c>
      <c r="L507" s="64">
        <f>H507*I507</f>
        <v>198</v>
      </c>
      <c r="M507" s="79"/>
      <c r="N507" s="19"/>
      <c r="Z507" s="35">
        <f>IF(AQ507="5",BJ507,0)</f>
        <v>0</v>
      </c>
      <c r="AB507" s="35">
        <f>IF(AQ507="1",BH507,0)</f>
        <v>0</v>
      </c>
      <c r="AC507" s="35">
        <f>IF(AQ507="1",BI507,0)</f>
        <v>0</v>
      </c>
      <c r="AD507" s="35">
        <f>IF(AQ507="7",BH507,0)</f>
        <v>0</v>
      </c>
      <c r="AE507" s="35">
        <f>IF(AQ507="7",BI507,0)</f>
        <v>198</v>
      </c>
      <c r="AF507" s="35">
        <f>IF(AQ507="2",BH507,0)</f>
        <v>0</v>
      </c>
      <c r="AG507" s="35">
        <f>IF(AQ507="2",BI507,0)</f>
        <v>0</v>
      </c>
      <c r="AH507" s="35">
        <f>IF(AQ507="0",BJ507,0)</f>
        <v>0</v>
      </c>
      <c r="AI507" s="83" t="s">
        <v>65</v>
      </c>
      <c r="AJ507" s="64">
        <f>IF(AN507=0,L507,0)</f>
        <v>0</v>
      </c>
      <c r="AK507" s="64">
        <f>IF(AN507=15,L507,0)</f>
        <v>0</v>
      </c>
      <c r="AL507" s="64">
        <f>IF(AN507=21,L507,0)</f>
        <v>198</v>
      </c>
      <c r="AN507" s="35">
        <v>21</v>
      </c>
      <c r="AO507" s="35">
        <f>I507*0</f>
        <v>0</v>
      </c>
      <c r="AP507" s="35">
        <f>I507*(1-0)</f>
        <v>99</v>
      </c>
      <c r="AQ507" s="84" t="s">
        <v>144</v>
      </c>
      <c r="AV507" s="35">
        <f>AW507+AX507</f>
        <v>198</v>
      </c>
      <c r="AW507" s="35">
        <f>H507*AO507</f>
        <v>0</v>
      </c>
      <c r="AX507" s="35">
        <f>H507*AP507</f>
        <v>198</v>
      </c>
      <c r="AY507" s="86" t="s">
        <v>1046</v>
      </c>
      <c r="AZ507" s="86" t="s">
        <v>1068</v>
      </c>
      <c r="BA507" s="83" t="s">
        <v>1079</v>
      </c>
      <c r="BC507" s="35">
        <f>AW507+AX507</f>
        <v>198</v>
      </c>
      <c r="BD507" s="35">
        <f>I507/(100-BE507)*100</f>
        <v>99</v>
      </c>
      <c r="BE507" s="35">
        <v>0</v>
      </c>
      <c r="BF507" s="35">
        <f>507</f>
        <v>507</v>
      </c>
      <c r="BH507" s="64">
        <f>H507*AO507</f>
        <v>0</v>
      </c>
      <c r="BI507" s="64">
        <f>H507*AP507</f>
        <v>198</v>
      </c>
      <c r="BJ507" s="64">
        <f>H507*I507</f>
        <v>198</v>
      </c>
      <c r="BK507" s="64" t="s">
        <v>1086</v>
      </c>
      <c r="BL507" s="35">
        <v>751</v>
      </c>
    </row>
    <row r="508" spans="1:64" x14ac:dyDescent="0.2">
      <c r="A508" s="19"/>
      <c r="C508" s="59" t="s">
        <v>521</v>
      </c>
      <c r="D508" s="180" t="s">
        <v>924</v>
      </c>
      <c r="E508" s="181"/>
      <c r="F508" s="181"/>
      <c r="G508" s="181"/>
      <c r="H508" s="181"/>
      <c r="I508" s="182"/>
      <c r="J508" s="181"/>
      <c r="K508" s="181"/>
      <c r="L508" s="181"/>
      <c r="M508" s="183"/>
      <c r="N508" s="19"/>
    </row>
    <row r="509" spans="1:64" x14ac:dyDescent="0.2">
      <c r="A509" s="49" t="s">
        <v>371</v>
      </c>
      <c r="B509" s="57" t="s">
        <v>65</v>
      </c>
      <c r="C509" s="57" t="s">
        <v>729</v>
      </c>
      <c r="D509" s="186" t="s">
        <v>925</v>
      </c>
      <c r="E509" s="187"/>
      <c r="F509" s="187"/>
      <c r="G509" s="57" t="s">
        <v>1003</v>
      </c>
      <c r="H509" s="65">
        <v>2</v>
      </c>
      <c r="I509" s="73">
        <v>211</v>
      </c>
      <c r="J509" s="65">
        <f>H509*AO509</f>
        <v>422</v>
      </c>
      <c r="K509" s="65">
        <f>H509*AP509</f>
        <v>0</v>
      </c>
      <c r="L509" s="65">
        <f>H509*I509</f>
        <v>422</v>
      </c>
      <c r="M509" s="81"/>
      <c r="N509" s="19"/>
      <c r="Z509" s="35">
        <f>IF(AQ509="5",BJ509,0)</f>
        <v>0</v>
      </c>
      <c r="AB509" s="35">
        <f>IF(AQ509="1",BH509,0)</f>
        <v>0</v>
      </c>
      <c r="AC509" s="35">
        <f>IF(AQ509="1",BI509,0)</f>
        <v>0</v>
      </c>
      <c r="AD509" s="35">
        <f>IF(AQ509="7",BH509,0)</f>
        <v>422</v>
      </c>
      <c r="AE509" s="35">
        <f>IF(AQ509="7",BI509,0)</f>
        <v>0</v>
      </c>
      <c r="AF509" s="35">
        <f>IF(AQ509="2",BH509,0)</f>
        <v>0</v>
      </c>
      <c r="AG509" s="35">
        <f>IF(AQ509="2",BI509,0)</f>
        <v>0</v>
      </c>
      <c r="AH509" s="35">
        <f>IF(AQ509="0",BJ509,0)</f>
        <v>0</v>
      </c>
      <c r="AI509" s="83" t="s">
        <v>65</v>
      </c>
      <c r="AJ509" s="65">
        <f>IF(AN509=0,L509,0)</f>
        <v>0</v>
      </c>
      <c r="AK509" s="65">
        <f>IF(AN509=15,L509,0)</f>
        <v>0</v>
      </c>
      <c r="AL509" s="65">
        <f>IF(AN509=21,L509,0)</f>
        <v>422</v>
      </c>
      <c r="AN509" s="35">
        <v>21</v>
      </c>
      <c r="AO509" s="35">
        <f>I509*1</f>
        <v>211</v>
      </c>
      <c r="AP509" s="35">
        <f>I509*(1-1)</f>
        <v>0</v>
      </c>
      <c r="AQ509" s="85" t="s">
        <v>144</v>
      </c>
      <c r="AV509" s="35">
        <f>AW509+AX509</f>
        <v>422</v>
      </c>
      <c r="AW509" s="35">
        <f>H509*AO509</f>
        <v>422</v>
      </c>
      <c r="AX509" s="35">
        <f>H509*AP509</f>
        <v>0</v>
      </c>
      <c r="AY509" s="86" t="s">
        <v>1046</v>
      </c>
      <c r="AZ509" s="86" t="s">
        <v>1068</v>
      </c>
      <c r="BA509" s="83" t="s">
        <v>1079</v>
      </c>
      <c r="BC509" s="35">
        <f>AW509+AX509</f>
        <v>422</v>
      </c>
      <c r="BD509" s="35">
        <f>I509/(100-BE509)*100</f>
        <v>211</v>
      </c>
      <c r="BE509" s="35">
        <v>0</v>
      </c>
      <c r="BF509" s="35">
        <f>509</f>
        <v>509</v>
      </c>
      <c r="BH509" s="65">
        <f>H509*AO509</f>
        <v>422</v>
      </c>
      <c r="BI509" s="65">
        <f>H509*AP509</f>
        <v>0</v>
      </c>
      <c r="BJ509" s="65">
        <f>H509*I509</f>
        <v>422</v>
      </c>
      <c r="BK509" s="65" t="s">
        <v>1001</v>
      </c>
      <c r="BL509" s="35">
        <v>751</v>
      </c>
    </row>
    <row r="510" spans="1:64" x14ac:dyDescent="0.2">
      <c r="A510" s="19"/>
      <c r="C510" s="59" t="s">
        <v>521</v>
      </c>
      <c r="D510" s="180" t="s">
        <v>925</v>
      </c>
      <c r="E510" s="181"/>
      <c r="F510" s="181"/>
      <c r="G510" s="181"/>
      <c r="H510" s="181"/>
      <c r="I510" s="182"/>
      <c r="J510" s="181"/>
      <c r="K510" s="181"/>
      <c r="L510" s="181"/>
      <c r="M510" s="183"/>
      <c r="N510" s="19"/>
    </row>
    <row r="511" spans="1:64" x14ac:dyDescent="0.2">
      <c r="A511" s="47" t="s">
        <v>372</v>
      </c>
      <c r="B511" s="55" t="s">
        <v>65</v>
      </c>
      <c r="C511" s="55" t="s">
        <v>594</v>
      </c>
      <c r="D511" s="178" t="s">
        <v>926</v>
      </c>
      <c r="E511" s="179"/>
      <c r="F511" s="179"/>
      <c r="G511" s="55" t="s">
        <v>1003</v>
      </c>
      <c r="H511" s="64">
        <v>4</v>
      </c>
      <c r="I511" s="71">
        <v>121</v>
      </c>
      <c r="J511" s="64">
        <f>H511*AO511</f>
        <v>0</v>
      </c>
      <c r="K511" s="64">
        <f>H511*AP511</f>
        <v>484</v>
      </c>
      <c r="L511" s="64">
        <f>H511*I511</f>
        <v>484</v>
      </c>
      <c r="M511" s="79"/>
      <c r="N511" s="19"/>
      <c r="Z511" s="35">
        <f>IF(AQ511="5",BJ511,0)</f>
        <v>0</v>
      </c>
      <c r="AB511" s="35">
        <f>IF(AQ511="1",BH511,0)</f>
        <v>0</v>
      </c>
      <c r="AC511" s="35">
        <f>IF(AQ511="1",BI511,0)</f>
        <v>0</v>
      </c>
      <c r="AD511" s="35">
        <f>IF(AQ511="7",BH511,0)</f>
        <v>0</v>
      </c>
      <c r="AE511" s="35">
        <f>IF(AQ511="7",BI511,0)</f>
        <v>484</v>
      </c>
      <c r="AF511" s="35">
        <f>IF(AQ511="2",BH511,0)</f>
        <v>0</v>
      </c>
      <c r="AG511" s="35">
        <f>IF(AQ511="2",BI511,0)</f>
        <v>0</v>
      </c>
      <c r="AH511" s="35">
        <f>IF(AQ511="0",BJ511,0)</f>
        <v>0</v>
      </c>
      <c r="AI511" s="83" t="s">
        <v>65</v>
      </c>
      <c r="AJ511" s="64">
        <f>IF(AN511=0,L511,0)</f>
        <v>0</v>
      </c>
      <c r="AK511" s="64">
        <f>IF(AN511=15,L511,0)</f>
        <v>0</v>
      </c>
      <c r="AL511" s="64">
        <f>IF(AN511=21,L511,0)</f>
        <v>484</v>
      </c>
      <c r="AN511" s="35">
        <v>21</v>
      </c>
      <c r="AO511" s="35">
        <f>I511*0</f>
        <v>0</v>
      </c>
      <c r="AP511" s="35">
        <f>I511*(1-0)</f>
        <v>121</v>
      </c>
      <c r="AQ511" s="84" t="s">
        <v>144</v>
      </c>
      <c r="AV511" s="35">
        <f>AW511+AX511</f>
        <v>484</v>
      </c>
      <c r="AW511" s="35">
        <f>H511*AO511</f>
        <v>0</v>
      </c>
      <c r="AX511" s="35">
        <f>H511*AP511</f>
        <v>484</v>
      </c>
      <c r="AY511" s="86" t="s">
        <v>1046</v>
      </c>
      <c r="AZ511" s="86" t="s">
        <v>1068</v>
      </c>
      <c r="BA511" s="83" t="s">
        <v>1079</v>
      </c>
      <c r="BC511" s="35">
        <f>AW511+AX511</f>
        <v>484</v>
      </c>
      <c r="BD511" s="35">
        <f>I511/(100-BE511)*100</f>
        <v>121</v>
      </c>
      <c r="BE511" s="35">
        <v>0</v>
      </c>
      <c r="BF511" s="35">
        <f>511</f>
        <v>511</v>
      </c>
      <c r="BH511" s="64">
        <f>H511*AO511</f>
        <v>0</v>
      </c>
      <c r="BI511" s="64">
        <f>H511*AP511</f>
        <v>484</v>
      </c>
      <c r="BJ511" s="64">
        <f>H511*I511</f>
        <v>484</v>
      </c>
      <c r="BK511" s="64" t="s">
        <v>1086</v>
      </c>
      <c r="BL511" s="35">
        <v>751</v>
      </c>
    </row>
    <row r="512" spans="1:64" x14ac:dyDescent="0.2">
      <c r="A512" s="19"/>
      <c r="C512" s="59" t="s">
        <v>521</v>
      </c>
      <c r="D512" s="180" t="s">
        <v>927</v>
      </c>
      <c r="E512" s="181"/>
      <c r="F512" s="181"/>
      <c r="G512" s="181"/>
      <c r="H512" s="181"/>
      <c r="I512" s="182"/>
      <c r="J512" s="181"/>
      <c r="K512" s="181"/>
      <c r="L512" s="181"/>
      <c r="M512" s="183"/>
      <c r="N512" s="19"/>
    </row>
    <row r="513" spans="1:64" x14ac:dyDescent="0.2">
      <c r="A513" s="49" t="s">
        <v>373</v>
      </c>
      <c r="B513" s="57" t="s">
        <v>65</v>
      </c>
      <c r="C513" s="57" t="s">
        <v>730</v>
      </c>
      <c r="D513" s="186" t="s">
        <v>928</v>
      </c>
      <c r="E513" s="187"/>
      <c r="F513" s="187"/>
      <c r="G513" s="57" t="s">
        <v>1003</v>
      </c>
      <c r="H513" s="65">
        <v>4</v>
      </c>
      <c r="I513" s="73">
        <v>397</v>
      </c>
      <c r="J513" s="65">
        <f>H513*AO513</f>
        <v>1588</v>
      </c>
      <c r="K513" s="65">
        <f>H513*AP513</f>
        <v>0</v>
      </c>
      <c r="L513" s="65">
        <f>H513*I513</f>
        <v>1588</v>
      </c>
      <c r="M513" s="81"/>
      <c r="N513" s="19"/>
      <c r="Z513" s="35">
        <f>IF(AQ513="5",BJ513,0)</f>
        <v>0</v>
      </c>
      <c r="AB513" s="35">
        <f>IF(AQ513="1",BH513,0)</f>
        <v>0</v>
      </c>
      <c r="AC513" s="35">
        <f>IF(AQ513="1",BI513,0)</f>
        <v>0</v>
      </c>
      <c r="AD513" s="35">
        <f>IF(AQ513="7",BH513,0)</f>
        <v>1588</v>
      </c>
      <c r="AE513" s="35">
        <f>IF(AQ513="7",BI513,0)</f>
        <v>0</v>
      </c>
      <c r="AF513" s="35">
        <f>IF(AQ513="2",BH513,0)</f>
        <v>0</v>
      </c>
      <c r="AG513" s="35">
        <f>IF(AQ513="2",BI513,0)</f>
        <v>0</v>
      </c>
      <c r="AH513" s="35">
        <f>IF(AQ513="0",BJ513,0)</f>
        <v>0</v>
      </c>
      <c r="AI513" s="83" t="s">
        <v>65</v>
      </c>
      <c r="AJ513" s="65">
        <f>IF(AN513=0,L513,0)</f>
        <v>0</v>
      </c>
      <c r="AK513" s="65">
        <f>IF(AN513=15,L513,0)</f>
        <v>0</v>
      </c>
      <c r="AL513" s="65">
        <f>IF(AN513=21,L513,0)</f>
        <v>1588</v>
      </c>
      <c r="AN513" s="35">
        <v>21</v>
      </c>
      <c r="AO513" s="35">
        <f>I513*1</f>
        <v>397</v>
      </c>
      <c r="AP513" s="35">
        <f>I513*(1-1)</f>
        <v>0</v>
      </c>
      <c r="AQ513" s="85" t="s">
        <v>144</v>
      </c>
      <c r="AV513" s="35">
        <f>AW513+AX513</f>
        <v>1588</v>
      </c>
      <c r="AW513" s="35">
        <f>H513*AO513</f>
        <v>1588</v>
      </c>
      <c r="AX513" s="35">
        <f>H513*AP513</f>
        <v>0</v>
      </c>
      <c r="AY513" s="86" t="s">
        <v>1046</v>
      </c>
      <c r="AZ513" s="86" t="s">
        <v>1068</v>
      </c>
      <c r="BA513" s="83" t="s">
        <v>1079</v>
      </c>
      <c r="BC513" s="35">
        <f>AW513+AX513</f>
        <v>1588</v>
      </c>
      <c r="BD513" s="35">
        <f>I513/(100-BE513)*100</f>
        <v>397</v>
      </c>
      <c r="BE513" s="35">
        <v>0</v>
      </c>
      <c r="BF513" s="35">
        <f>513</f>
        <v>513</v>
      </c>
      <c r="BH513" s="65">
        <f>H513*AO513</f>
        <v>1588</v>
      </c>
      <c r="BI513" s="65">
        <f>H513*AP513</f>
        <v>0</v>
      </c>
      <c r="BJ513" s="65">
        <f>H513*I513</f>
        <v>1588</v>
      </c>
      <c r="BK513" s="65" t="s">
        <v>1001</v>
      </c>
      <c r="BL513" s="35">
        <v>751</v>
      </c>
    </row>
    <row r="514" spans="1:64" x14ac:dyDescent="0.2">
      <c r="A514" s="19"/>
      <c r="C514" s="59" t="s">
        <v>521</v>
      </c>
      <c r="D514" s="180" t="s">
        <v>928</v>
      </c>
      <c r="E514" s="181"/>
      <c r="F514" s="181"/>
      <c r="G514" s="181"/>
      <c r="H514" s="181"/>
      <c r="I514" s="182"/>
      <c r="J514" s="181"/>
      <c r="K514" s="181"/>
      <c r="L514" s="181"/>
      <c r="M514" s="183"/>
      <c r="N514" s="19"/>
    </row>
    <row r="515" spans="1:64" x14ac:dyDescent="0.2">
      <c r="A515" s="47" t="s">
        <v>374</v>
      </c>
      <c r="B515" s="55" t="s">
        <v>65</v>
      </c>
      <c r="C515" s="55" t="s">
        <v>596</v>
      </c>
      <c r="D515" s="178" t="s">
        <v>929</v>
      </c>
      <c r="E515" s="179"/>
      <c r="F515" s="179"/>
      <c r="G515" s="55" t="s">
        <v>1001</v>
      </c>
      <c r="H515" s="64">
        <v>26</v>
      </c>
      <c r="I515" s="71">
        <v>336</v>
      </c>
      <c r="J515" s="64">
        <f>H515*AO515</f>
        <v>0</v>
      </c>
      <c r="K515" s="64">
        <f>H515*AP515</f>
        <v>8736</v>
      </c>
      <c r="L515" s="64">
        <f>H515*I515</f>
        <v>8736</v>
      </c>
      <c r="M515" s="79"/>
      <c r="N515" s="19"/>
      <c r="Z515" s="35">
        <f>IF(AQ515="5",BJ515,0)</f>
        <v>0</v>
      </c>
      <c r="AB515" s="35">
        <f>IF(AQ515="1",BH515,0)</f>
        <v>0</v>
      </c>
      <c r="AC515" s="35">
        <f>IF(AQ515="1",BI515,0)</f>
        <v>0</v>
      </c>
      <c r="AD515" s="35">
        <f>IF(AQ515="7",BH515,0)</f>
        <v>0</v>
      </c>
      <c r="AE515" s="35">
        <f>IF(AQ515="7",BI515,0)</f>
        <v>8736</v>
      </c>
      <c r="AF515" s="35">
        <f>IF(AQ515="2",BH515,0)</f>
        <v>0</v>
      </c>
      <c r="AG515" s="35">
        <f>IF(AQ515="2",BI515,0)</f>
        <v>0</v>
      </c>
      <c r="AH515" s="35">
        <f>IF(AQ515="0",BJ515,0)</f>
        <v>0</v>
      </c>
      <c r="AI515" s="83" t="s">
        <v>65</v>
      </c>
      <c r="AJ515" s="64">
        <f>IF(AN515=0,L515,0)</f>
        <v>0</v>
      </c>
      <c r="AK515" s="64">
        <f>IF(AN515=15,L515,0)</f>
        <v>0</v>
      </c>
      <c r="AL515" s="64">
        <f>IF(AN515=21,L515,0)</f>
        <v>8736</v>
      </c>
      <c r="AN515" s="35">
        <v>21</v>
      </c>
      <c r="AO515" s="35">
        <f>I515*0</f>
        <v>0</v>
      </c>
      <c r="AP515" s="35">
        <f>I515*(1-0)</f>
        <v>336</v>
      </c>
      <c r="AQ515" s="84" t="s">
        <v>144</v>
      </c>
      <c r="AV515" s="35">
        <f>AW515+AX515</f>
        <v>8736</v>
      </c>
      <c r="AW515" s="35">
        <f>H515*AO515</f>
        <v>0</v>
      </c>
      <c r="AX515" s="35">
        <f>H515*AP515</f>
        <v>8736</v>
      </c>
      <c r="AY515" s="86" t="s">
        <v>1046</v>
      </c>
      <c r="AZ515" s="86" t="s">
        <v>1068</v>
      </c>
      <c r="BA515" s="83" t="s">
        <v>1079</v>
      </c>
      <c r="BC515" s="35">
        <f>AW515+AX515</f>
        <v>8736</v>
      </c>
      <c r="BD515" s="35">
        <f>I515/(100-BE515)*100</f>
        <v>336</v>
      </c>
      <c r="BE515" s="35">
        <v>0</v>
      </c>
      <c r="BF515" s="35">
        <f>515</f>
        <v>515</v>
      </c>
      <c r="BH515" s="64">
        <f>H515*AO515</f>
        <v>0</v>
      </c>
      <c r="BI515" s="64">
        <f>H515*AP515</f>
        <v>8736</v>
      </c>
      <c r="BJ515" s="64">
        <f>H515*I515</f>
        <v>8736</v>
      </c>
      <c r="BK515" s="64" t="s">
        <v>1086</v>
      </c>
      <c r="BL515" s="35">
        <v>751</v>
      </c>
    </row>
    <row r="516" spans="1:64" x14ac:dyDescent="0.2">
      <c r="A516" s="19"/>
      <c r="C516" s="59" t="s">
        <v>521</v>
      </c>
      <c r="D516" s="180" t="s">
        <v>929</v>
      </c>
      <c r="E516" s="181"/>
      <c r="F516" s="181"/>
      <c r="G516" s="181"/>
      <c r="H516" s="181"/>
      <c r="I516" s="182"/>
      <c r="J516" s="181"/>
      <c r="K516" s="181"/>
      <c r="L516" s="181"/>
      <c r="M516" s="183"/>
      <c r="N516" s="19"/>
    </row>
    <row r="517" spans="1:64" x14ac:dyDescent="0.2">
      <c r="A517" s="49" t="s">
        <v>375</v>
      </c>
      <c r="B517" s="57" t="s">
        <v>65</v>
      </c>
      <c r="C517" s="57" t="s">
        <v>731</v>
      </c>
      <c r="D517" s="186" t="s">
        <v>930</v>
      </c>
      <c r="E517" s="187"/>
      <c r="F517" s="187"/>
      <c r="G517" s="57" t="s">
        <v>1001</v>
      </c>
      <c r="H517" s="65">
        <v>5</v>
      </c>
      <c r="I517" s="73">
        <v>401</v>
      </c>
      <c r="J517" s="65">
        <f>H517*AO517</f>
        <v>2005</v>
      </c>
      <c r="K517" s="65">
        <f>H517*AP517</f>
        <v>0</v>
      </c>
      <c r="L517" s="65">
        <f>H517*I517</f>
        <v>2005</v>
      </c>
      <c r="M517" s="81"/>
      <c r="N517" s="19"/>
      <c r="Z517" s="35">
        <f>IF(AQ517="5",BJ517,0)</f>
        <v>0</v>
      </c>
      <c r="AB517" s="35">
        <f>IF(AQ517="1",BH517,0)</f>
        <v>0</v>
      </c>
      <c r="AC517" s="35">
        <f>IF(AQ517="1",BI517,0)</f>
        <v>0</v>
      </c>
      <c r="AD517" s="35">
        <f>IF(AQ517="7",BH517,0)</f>
        <v>2005</v>
      </c>
      <c r="AE517" s="35">
        <f>IF(AQ517="7",BI517,0)</f>
        <v>0</v>
      </c>
      <c r="AF517" s="35">
        <f>IF(AQ517="2",BH517,0)</f>
        <v>0</v>
      </c>
      <c r="AG517" s="35">
        <f>IF(AQ517="2",BI517,0)</f>
        <v>0</v>
      </c>
      <c r="AH517" s="35">
        <f>IF(AQ517="0",BJ517,0)</f>
        <v>0</v>
      </c>
      <c r="AI517" s="83" t="s">
        <v>65</v>
      </c>
      <c r="AJ517" s="65">
        <f>IF(AN517=0,L517,0)</f>
        <v>0</v>
      </c>
      <c r="AK517" s="65">
        <f>IF(AN517=15,L517,0)</f>
        <v>0</v>
      </c>
      <c r="AL517" s="65">
        <f>IF(AN517=21,L517,0)</f>
        <v>2005</v>
      </c>
      <c r="AN517" s="35">
        <v>21</v>
      </c>
      <c r="AO517" s="35">
        <f>I517*1</f>
        <v>401</v>
      </c>
      <c r="AP517" s="35">
        <f>I517*(1-1)</f>
        <v>0</v>
      </c>
      <c r="AQ517" s="85" t="s">
        <v>144</v>
      </c>
      <c r="AV517" s="35">
        <f>AW517+AX517</f>
        <v>2005</v>
      </c>
      <c r="AW517" s="35">
        <f>H517*AO517</f>
        <v>2005</v>
      </c>
      <c r="AX517" s="35">
        <f>H517*AP517</f>
        <v>0</v>
      </c>
      <c r="AY517" s="86" t="s">
        <v>1046</v>
      </c>
      <c r="AZ517" s="86" t="s">
        <v>1068</v>
      </c>
      <c r="BA517" s="83" t="s">
        <v>1079</v>
      </c>
      <c r="BC517" s="35">
        <f>AW517+AX517</f>
        <v>2005</v>
      </c>
      <c r="BD517" s="35">
        <f>I517/(100-BE517)*100</f>
        <v>401</v>
      </c>
      <c r="BE517" s="35">
        <v>0</v>
      </c>
      <c r="BF517" s="35">
        <f>517</f>
        <v>517</v>
      </c>
      <c r="BH517" s="65">
        <f>H517*AO517</f>
        <v>2005</v>
      </c>
      <c r="BI517" s="65">
        <f>H517*AP517</f>
        <v>0</v>
      </c>
      <c r="BJ517" s="65">
        <f>H517*I517</f>
        <v>2005</v>
      </c>
      <c r="BK517" s="65" t="s">
        <v>1001</v>
      </c>
      <c r="BL517" s="35">
        <v>751</v>
      </c>
    </row>
    <row r="518" spans="1:64" x14ac:dyDescent="0.2">
      <c r="A518" s="19"/>
      <c r="C518" s="59" t="s">
        <v>521</v>
      </c>
      <c r="D518" s="180" t="s">
        <v>930</v>
      </c>
      <c r="E518" s="181"/>
      <c r="F518" s="181"/>
      <c r="G518" s="181"/>
      <c r="H518" s="181"/>
      <c r="I518" s="182"/>
      <c r="J518" s="181"/>
      <c r="K518" s="181"/>
      <c r="L518" s="181"/>
      <c r="M518" s="183"/>
      <c r="N518" s="19"/>
    </row>
    <row r="519" spans="1:64" x14ac:dyDescent="0.2">
      <c r="A519" s="49" t="s">
        <v>376</v>
      </c>
      <c r="B519" s="57" t="s">
        <v>65</v>
      </c>
      <c r="C519" s="57" t="s">
        <v>732</v>
      </c>
      <c r="D519" s="186" t="s">
        <v>931</v>
      </c>
      <c r="E519" s="187"/>
      <c r="F519" s="187"/>
      <c r="G519" s="57" t="s">
        <v>1001</v>
      </c>
      <c r="H519" s="65">
        <v>3</v>
      </c>
      <c r="I519" s="73">
        <v>401</v>
      </c>
      <c r="J519" s="65">
        <f>H519*AO519</f>
        <v>1203</v>
      </c>
      <c r="K519" s="65">
        <f>H519*AP519</f>
        <v>0</v>
      </c>
      <c r="L519" s="65">
        <f>H519*I519</f>
        <v>1203</v>
      </c>
      <c r="M519" s="81"/>
      <c r="N519" s="19"/>
      <c r="Z519" s="35">
        <f>IF(AQ519="5",BJ519,0)</f>
        <v>0</v>
      </c>
      <c r="AB519" s="35">
        <f>IF(AQ519="1",BH519,0)</f>
        <v>0</v>
      </c>
      <c r="AC519" s="35">
        <f>IF(AQ519="1",BI519,0)</f>
        <v>0</v>
      </c>
      <c r="AD519" s="35">
        <f>IF(AQ519="7",BH519,0)</f>
        <v>1203</v>
      </c>
      <c r="AE519" s="35">
        <f>IF(AQ519="7",BI519,0)</f>
        <v>0</v>
      </c>
      <c r="AF519" s="35">
        <f>IF(AQ519="2",BH519,0)</f>
        <v>0</v>
      </c>
      <c r="AG519" s="35">
        <f>IF(AQ519="2",BI519,0)</f>
        <v>0</v>
      </c>
      <c r="AH519" s="35">
        <f>IF(AQ519="0",BJ519,0)</f>
        <v>0</v>
      </c>
      <c r="AI519" s="83" t="s">
        <v>65</v>
      </c>
      <c r="AJ519" s="65">
        <f>IF(AN519=0,L519,0)</f>
        <v>0</v>
      </c>
      <c r="AK519" s="65">
        <f>IF(AN519=15,L519,0)</f>
        <v>0</v>
      </c>
      <c r="AL519" s="65">
        <f>IF(AN519=21,L519,0)</f>
        <v>1203</v>
      </c>
      <c r="AN519" s="35">
        <v>21</v>
      </c>
      <c r="AO519" s="35">
        <f>I519*1</f>
        <v>401</v>
      </c>
      <c r="AP519" s="35">
        <f>I519*(1-1)</f>
        <v>0</v>
      </c>
      <c r="AQ519" s="85" t="s">
        <v>144</v>
      </c>
      <c r="AV519" s="35">
        <f>AW519+AX519</f>
        <v>1203</v>
      </c>
      <c r="AW519" s="35">
        <f>H519*AO519</f>
        <v>1203</v>
      </c>
      <c r="AX519" s="35">
        <f>H519*AP519</f>
        <v>0</v>
      </c>
      <c r="AY519" s="86" t="s">
        <v>1046</v>
      </c>
      <c r="AZ519" s="86" t="s">
        <v>1068</v>
      </c>
      <c r="BA519" s="83" t="s">
        <v>1079</v>
      </c>
      <c r="BC519" s="35">
        <f>AW519+AX519</f>
        <v>1203</v>
      </c>
      <c r="BD519" s="35">
        <f>I519/(100-BE519)*100</f>
        <v>401</v>
      </c>
      <c r="BE519" s="35">
        <v>0</v>
      </c>
      <c r="BF519" s="35">
        <f>519</f>
        <v>519</v>
      </c>
      <c r="BH519" s="65">
        <f>H519*AO519</f>
        <v>1203</v>
      </c>
      <c r="BI519" s="65">
        <f>H519*AP519</f>
        <v>0</v>
      </c>
      <c r="BJ519" s="65">
        <f>H519*I519</f>
        <v>1203</v>
      </c>
      <c r="BK519" s="65" t="s">
        <v>1001</v>
      </c>
      <c r="BL519" s="35">
        <v>751</v>
      </c>
    </row>
    <row r="520" spans="1:64" x14ac:dyDescent="0.2">
      <c r="A520" s="19"/>
      <c r="C520" s="59" t="s">
        <v>521</v>
      </c>
      <c r="D520" s="180" t="s">
        <v>932</v>
      </c>
      <c r="E520" s="181"/>
      <c r="F520" s="181"/>
      <c r="G520" s="181"/>
      <c r="H520" s="181"/>
      <c r="I520" s="182"/>
      <c r="J520" s="181"/>
      <c r="K520" s="181"/>
      <c r="L520" s="181"/>
      <c r="M520" s="183"/>
      <c r="N520" s="19"/>
    </row>
    <row r="521" spans="1:64" x14ac:dyDescent="0.2">
      <c r="A521" s="49" t="s">
        <v>377</v>
      </c>
      <c r="B521" s="57" t="s">
        <v>65</v>
      </c>
      <c r="C521" s="57" t="s">
        <v>733</v>
      </c>
      <c r="D521" s="186" t="s">
        <v>933</v>
      </c>
      <c r="E521" s="187"/>
      <c r="F521" s="187"/>
      <c r="G521" s="57" t="s">
        <v>1001</v>
      </c>
      <c r="H521" s="65">
        <v>3</v>
      </c>
      <c r="I521" s="73">
        <v>401</v>
      </c>
      <c r="J521" s="65">
        <f>H521*AO521</f>
        <v>1203</v>
      </c>
      <c r="K521" s="65">
        <f>H521*AP521</f>
        <v>0</v>
      </c>
      <c r="L521" s="65">
        <f>H521*I521</f>
        <v>1203</v>
      </c>
      <c r="M521" s="81"/>
      <c r="N521" s="19"/>
      <c r="Z521" s="35">
        <f>IF(AQ521="5",BJ521,0)</f>
        <v>0</v>
      </c>
      <c r="AB521" s="35">
        <f>IF(AQ521="1",BH521,0)</f>
        <v>0</v>
      </c>
      <c r="AC521" s="35">
        <f>IF(AQ521="1",BI521,0)</f>
        <v>0</v>
      </c>
      <c r="AD521" s="35">
        <f>IF(AQ521="7",BH521,0)</f>
        <v>1203</v>
      </c>
      <c r="AE521" s="35">
        <f>IF(AQ521="7",BI521,0)</f>
        <v>0</v>
      </c>
      <c r="AF521" s="35">
        <f>IF(AQ521="2",BH521,0)</f>
        <v>0</v>
      </c>
      <c r="AG521" s="35">
        <f>IF(AQ521="2",BI521,0)</f>
        <v>0</v>
      </c>
      <c r="AH521" s="35">
        <f>IF(AQ521="0",BJ521,0)</f>
        <v>0</v>
      </c>
      <c r="AI521" s="83" t="s">
        <v>65</v>
      </c>
      <c r="AJ521" s="65">
        <f>IF(AN521=0,L521,0)</f>
        <v>0</v>
      </c>
      <c r="AK521" s="65">
        <f>IF(AN521=15,L521,0)</f>
        <v>0</v>
      </c>
      <c r="AL521" s="65">
        <f>IF(AN521=21,L521,0)</f>
        <v>1203</v>
      </c>
      <c r="AN521" s="35">
        <v>21</v>
      </c>
      <c r="AO521" s="35">
        <f>I521*1</f>
        <v>401</v>
      </c>
      <c r="AP521" s="35">
        <f>I521*(1-1)</f>
        <v>0</v>
      </c>
      <c r="AQ521" s="85" t="s">
        <v>144</v>
      </c>
      <c r="AV521" s="35">
        <f>AW521+AX521</f>
        <v>1203</v>
      </c>
      <c r="AW521" s="35">
        <f>H521*AO521</f>
        <v>1203</v>
      </c>
      <c r="AX521" s="35">
        <f>H521*AP521</f>
        <v>0</v>
      </c>
      <c r="AY521" s="86" t="s">
        <v>1046</v>
      </c>
      <c r="AZ521" s="86" t="s">
        <v>1068</v>
      </c>
      <c r="BA521" s="83" t="s">
        <v>1079</v>
      </c>
      <c r="BC521" s="35">
        <f>AW521+AX521</f>
        <v>1203</v>
      </c>
      <c r="BD521" s="35">
        <f>I521/(100-BE521)*100</f>
        <v>401</v>
      </c>
      <c r="BE521" s="35">
        <v>0</v>
      </c>
      <c r="BF521" s="35">
        <f>521</f>
        <v>521</v>
      </c>
      <c r="BH521" s="65">
        <f>H521*AO521</f>
        <v>1203</v>
      </c>
      <c r="BI521" s="65">
        <f>H521*AP521</f>
        <v>0</v>
      </c>
      <c r="BJ521" s="65">
        <f>H521*I521</f>
        <v>1203</v>
      </c>
      <c r="BK521" s="65" t="s">
        <v>1001</v>
      </c>
      <c r="BL521" s="35">
        <v>751</v>
      </c>
    </row>
    <row r="522" spans="1:64" x14ac:dyDescent="0.2">
      <c r="A522" s="19"/>
      <c r="C522" s="59" t="s">
        <v>521</v>
      </c>
      <c r="D522" s="180" t="s">
        <v>933</v>
      </c>
      <c r="E522" s="181"/>
      <c r="F522" s="181"/>
      <c r="G522" s="181"/>
      <c r="H522" s="181"/>
      <c r="I522" s="182"/>
      <c r="J522" s="181"/>
      <c r="K522" s="181"/>
      <c r="L522" s="181"/>
      <c r="M522" s="183"/>
      <c r="N522" s="19"/>
    </row>
    <row r="523" spans="1:64" x14ac:dyDescent="0.2">
      <c r="A523" s="49" t="s">
        <v>378</v>
      </c>
      <c r="B523" s="57" t="s">
        <v>65</v>
      </c>
      <c r="C523" s="57" t="s">
        <v>734</v>
      </c>
      <c r="D523" s="186" t="s">
        <v>934</v>
      </c>
      <c r="E523" s="187"/>
      <c r="F523" s="187"/>
      <c r="G523" s="57" t="s">
        <v>1001</v>
      </c>
      <c r="H523" s="65">
        <v>7</v>
      </c>
      <c r="I523" s="73">
        <v>349</v>
      </c>
      <c r="J523" s="65">
        <f>H523*AO523</f>
        <v>2443</v>
      </c>
      <c r="K523" s="65">
        <f>H523*AP523</f>
        <v>0</v>
      </c>
      <c r="L523" s="65">
        <f>H523*I523</f>
        <v>2443</v>
      </c>
      <c r="M523" s="81"/>
      <c r="N523" s="19"/>
      <c r="Z523" s="35">
        <f>IF(AQ523="5",BJ523,0)</f>
        <v>0</v>
      </c>
      <c r="AB523" s="35">
        <f>IF(AQ523="1",BH523,0)</f>
        <v>0</v>
      </c>
      <c r="AC523" s="35">
        <f>IF(AQ523="1",BI523,0)</f>
        <v>0</v>
      </c>
      <c r="AD523" s="35">
        <f>IF(AQ523="7",BH523,0)</f>
        <v>2443</v>
      </c>
      <c r="AE523" s="35">
        <f>IF(AQ523="7",BI523,0)</f>
        <v>0</v>
      </c>
      <c r="AF523" s="35">
        <f>IF(AQ523="2",BH523,0)</f>
        <v>0</v>
      </c>
      <c r="AG523" s="35">
        <f>IF(AQ523="2",BI523,0)</f>
        <v>0</v>
      </c>
      <c r="AH523" s="35">
        <f>IF(AQ523="0",BJ523,0)</f>
        <v>0</v>
      </c>
      <c r="AI523" s="83" t="s">
        <v>65</v>
      </c>
      <c r="AJ523" s="65">
        <f>IF(AN523=0,L523,0)</f>
        <v>0</v>
      </c>
      <c r="AK523" s="65">
        <f>IF(AN523=15,L523,0)</f>
        <v>0</v>
      </c>
      <c r="AL523" s="65">
        <f>IF(AN523=21,L523,0)</f>
        <v>2443</v>
      </c>
      <c r="AN523" s="35">
        <v>21</v>
      </c>
      <c r="AO523" s="35">
        <f>I523*1</f>
        <v>349</v>
      </c>
      <c r="AP523" s="35">
        <f>I523*(1-1)</f>
        <v>0</v>
      </c>
      <c r="AQ523" s="85" t="s">
        <v>144</v>
      </c>
      <c r="AV523" s="35">
        <f>AW523+AX523</f>
        <v>2443</v>
      </c>
      <c r="AW523" s="35">
        <f>H523*AO523</f>
        <v>2443</v>
      </c>
      <c r="AX523" s="35">
        <f>H523*AP523</f>
        <v>0</v>
      </c>
      <c r="AY523" s="86" t="s">
        <v>1046</v>
      </c>
      <c r="AZ523" s="86" t="s">
        <v>1068</v>
      </c>
      <c r="BA523" s="83" t="s">
        <v>1079</v>
      </c>
      <c r="BC523" s="35">
        <f>AW523+AX523</f>
        <v>2443</v>
      </c>
      <c r="BD523" s="35">
        <f>I523/(100-BE523)*100</f>
        <v>349</v>
      </c>
      <c r="BE523" s="35">
        <v>0</v>
      </c>
      <c r="BF523" s="35">
        <f>523</f>
        <v>523</v>
      </c>
      <c r="BH523" s="65">
        <f>H523*AO523</f>
        <v>2443</v>
      </c>
      <c r="BI523" s="65">
        <f>H523*AP523</f>
        <v>0</v>
      </c>
      <c r="BJ523" s="65">
        <f>H523*I523</f>
        <v>2443</v>
      </c>
      <c r="BK523" s="65" t="s">
        <v>1001</v>
      </c>
      <c r="BL523" s="35">
        <v>751</v>
      </c>
    </row>
    <row r="524" spans="1:64" x14ac:dyDescent="0.2">
      <c r="A524" s="19"/>
      <c r="C524" s="59" t="s">
        <v>521</v>
      </c>
      <c r="D524" s="180" t="s">
        <v>934</v>
      </c>
      <c r="E524" s="181"/>
      <c r="F524" s="181"/>
      <c r="G524" s="181"/>
      <c r="H524" s="181"/>
      <c r="I524" s="182"/>
      <c r="J524" s="181"/>
      <c r="K524" s="181"/>
      <c r="L524" s="181"/>
      <c r="M524" s="183"/>
      <c r="N524" s="19"/>
    </row>
    <row r="525" spans="1:64" x14ac:dyDescent="0.2">
      <c r="A525" s="49" t="s">
        <v>379</v>
      </c>
      <c r="B525" s="57" t="s">
        <v>65</v>
      </c>
      <c r="C525" s="57" t="s">
        <v>735</v>
      </c>
      <c r="D525" s="186" t="s">
        <v>935</v>
      </c>
      <c r="E525" s="187"/>
      <c r="F525" s="187"/>
      <c r="G525" s="57" t="s">
        <v>1001</v>
      </c>
      <c r="H525" s="65">
        <v>3</v>
      </c>
      <c r="I525" s="73">
        <v>349</v>
      </c>
      <c r="J525" s="65">
        <f>H525*AO525</f>
        <v>1047</v>
      </c>
      <c r="K525" s="65">
        <f>H525*AP525</f>
        <v>0</v>
      </c>
      <c r="L525" s="65">
        <f>H525*I525</f>
        <v>1047</v>
      </c>
      <c r="M525" s="81"/>
      <c r="N525" s="19"/>
      <c r="Z525" s="35">
        <f>IF(AQ525="5",BJ525,0)</f>
        <v>0</v>
      </c>
      <c r="AB525" s="35">
        <f>IF(AQ525="1",BH525,0)</f>
        <v>0</v>
      </c>
      <c r="AC525" s="35">
        <f>IF(AQ525="1",BI525,0)</f>
        <v>0</v>
      </c>
      <c r="AD525" s="35">
        <f>IF(AQ525="7",BH525,0)</f>
        <v>1047</v>
      </c>
      <c r="AE525" s="35">
        <f>IF(AQ525="7",BI525,0)</f>
        <v>0</v>
      </c>
      <c r="AF525" s="35">
        <f>IF(AQ525="2",BH525,0)</f>
        <v>0</v>
      </c>
      <c r="AG525" s="35">
        <f>IF(AQ525="2",BI525,0)</f>
        <v>0</v>
      </c>
      <c r="AH525" s="35">
        <f>IF(AQ525="0",BJ525,0)</f>
        <v>0</v>
      </c>
      <c r="AI525" s="83" t="s">
        <v>65</v>
      </c>
      <c r="AJ525" s="65">
        <f>IF(AN525=0,L525,0)</f>
        <v>0</v>
      </c>
      <c r="AK525" s="65">
        <f>IF(AN525=15,L525,0)</f>
        <v>0</v>
      </c>
      <c r="AL525" s="65">
        <f>IF(AN525=21,L525,0)</f>
        <v>1047</v>
      </c>
      <c r="AN525" s="35">
        <v>21</v>
      </c>
      <c r="AO525" s="35">
        <f>I525*1</f>
        <v>349</v>
      </c>
      <c r="AP525" s="35">
        <f>I525*(1-1)</f>
        <v>0</v>
      </c>
      <c r="AQ525" s="85" t="s">
        <v>144</v>
      </c>
      <c r="AV525" s="35">
        <f>AW525+AX525</f>
        <v>1047</v>
      </c>
      <c r="AW525" s="35">
        <f>H525*AO525</f>
        <v>1047</v>
      </c>
      <c r="AX525" s="35">
        <f>H525*AP525</f>
        <v>0</v>
      </c>
      <c r="AY525" s="86" t="s">
        <v>1046</v>
      </c>
      <c r="AZ525" s="86" t="s">
        <v>1068</v>
      </c>
      <c r="BA525" s="83" t="s">
        <v>1079</v>
      </c>
      <c r="BC525" s="35">
        <f>AW525+AX525</f>
        <v>1047</v>
      </c>
      <c r="BD525" s="35">
        <f>I525/(100-BE525)*100</f>
        <v>349</v>
      </c>
      <c r="BE525" s="35">
        <v>0</v>
      </c>
      <c r="BF525" s="35">
        <f>525</f>
        <v>525</v>
      </c>
      <c r="BH525" s="65">
        <f>H525*AO525</f>
        <v>1047</v>
      </c>
      <c r="BI525" s="65">
        <f>H525*AP525</f>
        <v>0</v>
      </c>
      <c r="BJ525" s="65">
        <f>H525*I525</f>
        <v>1047</v>
      </c>
      <c r="BK525" s="65" t="s">
        <v>1001</v>
      </c>
      <c r="BL525" s="35">
        <v>751</v>
      </c>
    </row>
    <row r="526" spans="1:64" x14ac:dyDescent="0.2">
      <c r="A526" s="19"/>
      <c r="C526" s="59" t="s">
        <v>521</v>
      </c>
      <c r="D526" s="180" t="s">
        <v>935</v>
      </c>
      <c r="E526" s="181"/>
      <c r="F526" s="181"/>
      <c r="G526" s="181"/>
      <c r="H526" s="181"/>
      <c r="I526" s="182"/>
      <c r="J526" s="181"/>
      <c r="K526" s="181"/>
      <c r="L526" s="181"/>
      <c r="M526" s="183"/>
      <c r="N526" s="19"/>
    </row>
    <row r="527" spans="1:64" x14ac:dyDescent="0.2">
      <c r="A527" s="49" t="s">
        <v>380</v>
      </c>
      <c r="B527" s="57" t="s">
        <v>65</v>
      </c>
      <c r="C527" s="57" t="s">
        <v>736</v>
      </c>
      <c r="D527" s="186" t="s">
        <v>936</v>
      </c>
      <c r="E527" s="187"/>
      <c r="F527" s="187"/>
      <c r="G527" s="57" t="s">
        <v>1001</v>
      </c>
      <c r="H527" s="65">
        <v>2</v>
      </c>
      <c r="I527" s="73">
        <v>349</v>
      </c>
      <c r="J527" s="65">
        <f>H527*AO527</f>
        <v>698</v>
      </c>
      <c r="K527" s="65">
        <f>H527*AP527</f>
        <v>0</v>
      </c>
      <c r="L527" s="65">
        <f>H527*I527</f>
        <v>698</v>
      </c>
      <c r="M527" s="81"/>
      <c r="N527" s="19"/>
      <c r="Z527" s="35">
        <f>IF(AQ527="5",BJ527,0)</f>
        <v>0</v>
      </c>
      <c r="AB527" s="35">
        <f>IF(AQ527="1",BH527,0)</f>
        <v>0</v>
      </c>
      <c r="AC527" s="35">
        <f>IF(AQ527="1",BI527,0)</f>
        <v>0</v>
      </c>
      <c r="AD527" s="35">
        <f>IF(AQ527="7",BH527,0)</f>
        <v>698</v>
      </c>
      <c r="AE527" s="35">
        <f>IF(AQ527="7",BI527,0)</f>
        <v>0</v>
      </c>
      <c r="AF527" s="35">
        <f>IF(AQ527="2",BH527,0)</f>
        <v>0</v>
      </c>
      <c r="AG527" s="35">
        <f>IF(AQ527="2",BI527,0)</f>
        <v>0</v>
      </c>
      <c r="AH527" s="35">
        <f>IF(AQ527="0",BJ527,0)</f>
        <v>0</v>
      </c>
      <c r="AI527" s="83" t="s">
        <v>65</v>
      </c>
      <c r="AJ527" s="65">
        <f>IF(AN527=0,L527,0)</f>
        <v>0</v>
      </c>
      <c r="AK527" s="65">
        <f>IF(AN527=15,L527,0)</f>
        <v>0</v>
      </c>
      <c r="AL527" s="65">
        <f>IF(AN527=21,L527,0)</f>
        <v>698</v>
      </c>
      <c r="AN527" s="35">
        <v>21</v>
      </c>
      <c r="AO527" s="35">
        <f>I527*1</f>
        <v>349</v>
      </c>
      <c r="AP527" s="35">
        <f>I527*(1-1)</f>
        <v>0</v>
      </c>
      <c r="AQ527" s="85" t="s">
        <v>144</v>
      </c>
      <c r="AV527" s="35">
        <f>AW527+AX527</f>
        <v>698</v>
      </c>
      <c r="AW527" s="35">
        <f>H527*AO527</f>
        <v>698</v>
      </c>
      <c r="AX527" s="35">
        <f>H527*AP527</f>
        <v>0</v>
      </c>
      <c r="AY527" s="86" t="s">
        <v>1046</v>
      </c>
      <c r="AZ527" s="86" t="s">
        <v>1068</v>
      </c>
      <c r="BA527" s="83" t="s">
        <v>1079</v>
      </c>
      <c r="BC527" s="35">
        <f>AW527+AX527</f>
        <v>698</v>
      </c>
      <c r="BD527" s="35">
        <f>I527/(100-BE527)*100</f>
        <v>349</v>
      </c>
      <c r="BE527" s="35">
        <v>0</v>
      </c>
      <c r="BF527" s="35">
        <f>527</f>
        <v>527</v>
      </c>
      <c r="BH527" s="65">
        <f>H527*AO527</f>
        <v>698</v>
      </c>
      <c r="BI527" s="65">
        <f>H527*AP527</f>
        <v>0</v>
      </c>
      <c r="BJ527" s="65">
        <f>H527*I527</f>
        <v>698</v>
      </c>
      <c r="BK527" s="65" t="s">
        <v>1001</v>
      </c>
      <c r="BL527" s="35">
        <v>751</v>
      </c>
    </row>
    <row r="528" spans="1:64" x14ac:dyDescent="0.2">
      <c r="A528" s="19"/>
      <c r="C528" s="59" t="s">
        <v>521</v>
      </c>
      <c r="D528" s="180" t="s">
        <v>936</v>
      </c>
      <c r="E528" s="181"/>
      <c r="F528" s="181"/>
      <c r="G528" s="181"/>
      <c r="H528" s="181"/>
      <c r="I528" s="182"/>
      <c r="J528" s="181"/>
      <c r="K528" s="181"/>
      <c r="L528" s="181"/>
      <c r="M528" s="183"/>
      <c r="N528" s="19"/>
    </row>
    <row r="529" spans="1:64" x14ac:dyDescent="0.2">
      <c r="A529" s="49" t="s">
        <v>381</v>
      </c>
      <c r="B529" s="57" t="s">
        <v>65</v>
      </c>
      <c r="C529" s="57" t="s">
        <v>737</v>
      </c>
      <c r="D529" s="186" t="s">
        <v>937</v>
      </c>
      <c r="E529" s="187"/>
      <c r="F529" s="187"/>
      <c r="G529" s="57" t="s">
        <v>1001</v>
      </c>
      <c r="H529" s="65">
        <v>3</v>
      </c>
      <c r="I529" s="73">
        <v>349</v>
      </c>
      <c r="J529" s="65">
        <f>H529*AO529</f>
        <v>1047</v>
      </c>
      <c r="K529" s="65">
        <f>H529*AP529</f>
        <v>0</v>
      </c>
      <c r="L529" s="65">
        <f>H529*I529</f>
        <v>1047</v>
      </c>
      <c r="M529" s="81"/>
      <c r="N529" s="19"/>
      <c r="Z529" s="35">
        <f>IF(AQ529="5",BJ529,0)</f>
        <v>0</v>
      </c>
      <c r="AB529" s="35">
        <f>IF(AQ529="1",BH529,0)</f>
        <v>0</v>
      </c>
      <c r="AC529" s="35">
        <f>IF(AQ529="1",BI529,0)</f>
        <v>0</v>
      </c>
      <c r="AD529" s="35">
        <f>IF(AQ529="7",BH529,0)</f>
        <v>1047</v>
      </c>
      <c r="AE529" s="35">
        <f>IF(AQ529="7",BI529,0)</f>
        <v>0</v>
      </c>
      <c r="AF529" s="35">
        <f>IF(AQ529="2",BH529,0)</f>
        <v>0</v>
      </c>
      <c r="AG529" s="35">
        <f>IF(AQ529="2",BI529,0)</f>
        <v>0</v>
      </c>
      <c r="AH529" s="35">
        <f>IF(AQ529="0",BJ529,0)</f>
        <v>0</v>
      </c>
      <c r="AI529" s="83" t="s">
        <v>65</v>
      </c>
      <c r="AJ529" s="65">
        <f>IF(AN529=0,L529,0)</f>
        <v>0</v>
      </c>
      <c r="AK529" s="65">
        <f>IF(AN529=15,L529,0)</f>
        <v>0</v>
      </c>
      <c r="AL529" s="65">
        <f>IF(AN529=21,L529,0)</f>
        <v>1047</v>
      </c>
      <c r="AN529" s="35">
        <v>21</v>
      </c>
      <c r="AO529" s="35">
        <f>I529*1</f>
        <v>349</v>
      </c>
      <c r="AP529" s="35">
        <f>I529*(1-1)</f>
        <v>0</v>
      </c>
      <c r="AQ529" s="85" t="s">
        <v>144</v>
      </c>
      <c r="AV529" s="35">
        <f>AW529+AX529</f>
        <v>1047</v>
      </c>
      <c r="AW529" s="35">
        <f>H529*AO529</f>
        <v>1047</v>
      </c>
      <c r="AX529" s="35">
        <f>H529*AP529</f>
        <v>0</v>
      </c>
      <c r="AY529" s="86" t="s">
        <v>1046</v>
      </c>
      <c r="AZ529" s="86" t="s">
        <v>1068</v>
      </c>
      <c r="BA529" s="83" t="s">
        <v>1079</v>
      </c>
      <c r="BC529" s="35">
        <f>AW529+AX529</f>
        <v>1047</v>
      </c>
      <c r="BD529" s="35">
        <f>I529/(100-BE529)*100</f>
        <v>349</v>
      </c>
      <c r="BE529" s="35">
        <v>0</v>
      </c>
      <c r="BF529" s="35">
        <f>529</f>
        <v>529</v>
      </c>
      <c r="BH529" s="65">
        <f>H529*AO529</f>
        <v>1047</v>
      </c>
      <c r="BI529" s="65">
        <f>H529*AP529</f>
        <v>0</v>
      </c>
      <c r="BJ529" s="65">
        <f>H529*I529</f>
        <v>1047</v>
      </c>
      <c r="BK529" s="65" t="s">
        <v>1001</v>
      </c>
      <c r="BL529" s="35">
        <v>751</v>
      </c>
    </row>
    <row r="530" spans="1:64" x14ac:dyDescent="0.2">
      <c r="A530" s="19"/>
      <c r="C530" s="59" t="s">
        <v>521</v>
      </c>
      <c r="D530" s="180" t="s">
        <v>937</v>
      </c>
      <c r="E530" s="181"/>
      <c r="F530" s="181"/>
      <c r="G530" s="181"/>
      <c r="H530" s="181"/>
      <c r="I530" s="182"/>
      <c r="J530" s="181"/>
      <c r="K530" s="181"/>
      <c r="L530" s="181"/>
      <c r="M530" s="183"/>
      <c r="N530" s="19"/>
    </row>
    <row r="531" spans="1:64" x14ac:dyDescent="0.2">
      <c r="A531" s="47" t="s">
        <v>382</v>
      </c>
      <c r="B531" s="55" t="s">
        <v>65</v>
      </c>
      <c r="C531" s="55" t="s">
        <v>604</v>
      </c>
      <c r="D531" s="178" t="s">
        <v>938</v>
      </c>
      <c r="E531" s="179"/>
      <c r="F531" s="179"/>
      <c r="G531" s="55" t="s">
        <v>1003</v>
      </c>
      <c r="H531" s="64">
        <v>4</v>
      </c>
      <c r="I531" s="71">
        <v>178</v>
      </c>
      <c r="J531" s="64">
        <f>H531*AO531</f>
        <v>0</v>
      </c>
      <c r="K531" s="64">
        <f>H531*AP531</f>
        <v>712</v>
      </c>
      <c r="L531" s="64">
        <f>H531*I531</f>
        <v>712</v>
      </c>
      <c r="M531" s="79"/>
      <c r="N531" s="19"/>
      <c r="Z531" s="35">
        <f>IF(AQ531="5",BJ531,0)</f>
        <v>0</v>
      </c>
      <c r="AB531" s="35">
        <f>IF(AQ531="1",BH531,0)</f>
        <v>0</v>
      </c>
      <c r="AC531" s="35">
        <f>IF(AQ531="1",BI531,0)</f>
        <v>0</v>
      </c>
      <c r="AD531" s="35">
        <f>IF(AQ531="7",BH531,0)</f>
        <v>0</v>
      </c>
      <c r="AE531" s="35">
        <f>IF(AQ531="7",BI531,0)</f>
        <v>712</v>
      </c>
      <c r="AF531" s="35">
        <f>IF(AQ531="2",BH531,0)</f>
        <v>0</v>
      </c>
      <c r="AG531" s="35">
        <f>IF(AQ531="2",BI531,0)</f>
        <v>0</v>
      </c>
      <c r="AH531" s="35">
        <f>IF(AQ531="0",BJ531,0)</f>
        <v>0</v>
      </c>
      <c r="AI531" s="83" t="s">
        <v>65</v>
      </c>
      <c r="AJ531" s="64">
        <f>IF(AN531=0,L531,0)</f>
        <v>0</v>
      </c>
      <c r="AK531" s="64">
        <f>IF(AN531=15,L531,0)</f>
        <v>0</v>
      </c>
      <c r="AL531" s="64">
        <f>IF(AN531=21,L531,0)</f>
        <v>712</v>
      </c>
      <c r="AN531" s="35">
        <v>21</v>
      </c>
      <c r="AO531" s="35">
        <f>I531*0</f>
        <v>0</v>
      </c>
      <c r="AP531" s="35">
        <f>I531*(1-0)</f>
        <v>178</v>
      </c>
      <c r="AQ531" s="84" t="s">
        <v>144</v>
      </c>
      <c r="AV531" s="35">
        <f>AW531+AX531</f>
        <v>712</v>
      </c>
      <c r="AW531" s="35">
        <f>H531*AO531</f>
        <v>0</v>
      </c>
      <c r="AX531" s="35">
        <f>H531*AP531</f>
        <v>712</v>
      </c>
      <c r="AY531" s="86" t="s">
        <v>1046</v>
      </c>
      <c r="AZ531" s="86" t="s">
        <v>1068</v>
      </c>
      <c r="BA531" s="83" t="s">
        <v>1079</v>
      </c>
      <c r="BC531" s="35">
        <f>AW531+AX531</f>
        <v>712</v>
      </c>
      <c r="BD531" s="35">
        <f>I531/(100-BE531)*100</f>
        <v>178</v>
      </c>
      <c r="BE531" s="35">
        <v>0</v>
      </c>
      <c r="BF531" s="35">
        <f>531</f>
        <v>531</v>
      </c>
      <c r="BH531" s="64">
        <f>H531*AO531</f>
        <v>0</v>
      </c>
      <c r="BI531" s="64">
        <f>H531*AP531</f>
        <v>712</v>
      </c>
      <c r="BJ531" s="64">
        <f>H531*I531</f>
        <v>712</v>
      </c>
      <c r="BK531" s="64" t="s">
        <v>1086</v>
      </c>
      <c r="BL531" s="35">
        <v>751</v>
      </c>
    </row>
    <row r="532" spans="1:64" x14ac:dyDescent="0.2">
      <c r="A532" s="19"/>
      <c r="C532" s="59" t="s">
        <v>521</v>
      </c>
      <c r="D532" s="180" t="s">
        <v>938</v>
      </c>
      <c r="E532" s="181"/>
      <c r="F532" s="181"/>
      <c r="G532" s="181"/>
      <c r="H532" s="181"/>
      <c r="I532" s="182"/>
      <c r="J532" s="181"/>
      <c r="K532" s="181"/>
      <c r="L532" s="181"/>
      <c r="M532" s="183"/>
      <c r="N532" s="19"/>
    </row>
    <row r="533" spans="1:64" x14ac:dyDescent="0.2">
      <c r="A533" s="49" t="s">
        <v>383</v>
      </c>
      <c r="B533" s="57" t="s">
        <v>65</v>
      </c>
      <c r="C533" s="57" t="s">
        <v>738</v>
      </c>
      <c r="D533" s="186" t="s">
        <v>939</v>
      </c>
      <c r="E533" s="187"/>
      <c r="F533" s="187"/>
      <c r="G533" s="57" t="s">
        <v>1004</v>
      </c>
      <c r="H533" s="65">
        <v>4</v>
      </c>
      <c r="I533" s="73">
        <v>735</v>
      </c>
      <c r="J533" s="65">
        <f>H533*AO533</f>
        <v>2940</v>
      </c>
      <c r="K533" s="65">
        <f>H533*AP533</f>
        <v>0</v>
      </c>
      <c r="L533" s="65">
        <f>H533*I533</f>
        <v>2940</v>
      </c>
      <c r="M533" s="81"/>
      <c r="N533" s="19"/>
      <c r="Z533" s="35">
        <f>IF(AQ533="5",BJ533,0)</f>
        <v>0</v>
      </c>
      <c r="AB533" s="35">
        <f>IF(AQ533="1",BH533,0)</f>
        <v>0</v>
      </c>
      <c r="AC533" s="35">
        <f>IF(AQ533="1",BI533,0)</f>
        <v>0</v>
      </c>
      <c r="AD533" s="35">
        <f>IF(AQ533="7",BH533,0)</f>
        <v>2940</v>
      </c>
      <c r="AE533" s="35">
        <f>IF(AQ533="7",BI533,0)</f>
        <v>0</v>
      </c>
      <c r="AF533" s="35">
        <f>IF(AQ533="2",BH533,0)</f>
        <v>0</v>
      </c>
      <c r="AG533" s="35">
        <f>IF(AQ533="2",BI533,0)</f>
        <v>0</v>
      </c>
      <c r="AH533" s="35">
        <f>IF(AQ533="0",BJ533,0)</f>
        <v>0</v>
      </c>
      <c r="AI533" s="83" t="s">
        <v>65</v>
      </c>
      <c r="AJ533" s="65">
        <f>IF(AN533=0,L533,0)</f>
        <v>0</v>
      </c>
      <c r="AK533" s="65">
        <f>IF(AN533=15,L533,0)</f>
        <v>0</v>
      </c>
      <c r="AL533" s="65">
        <f>IF(AN533=21,L533,0)</f>
        <v>2940</v>
      </c>
      <c r="AN533" s="35">
        <v>21</v>
      </c>
      <c r="AO533" s="35">
        <f>I533*1</f>
        <v>735</v>
      </c>
      <c r="AP533" s="35">
        <f>I533*(1-1)</f>
        <v>0</v>
      </c>
      <c r="AQ533" s="85" t="s">
        <v>144</v>
      </c>
      <c r="AV533" s="35">
        <f>AW533+AX533</f>
        <v>2940</v>
      </c>
      <c r="AW533" s="35">
        <f>H533*AO533</f>
        <v>2940</v>
      </c>
      <c r="AX533" s="35">
        <f>H533*AP533</f>
        <v>0</v>
      </c>
      <c r="AY533" s="86" t="s">
        <v>1046</v>
      </c>
      <c r="AZ533" s="86" t="s">
        <v>1068</v>
      </c>
      <c r="BA533" s="83" t="s">
        <v>1079</v>
      </c>
      <c r="BC533" s="35">
        <f>AW533+AX533</f>
        <v>2940</v>
      </c>
      <c r="BD533" s="35">
        <f>I533/(100-BE533)*100</f>
        <v>735</v>
      </c>
      <c r="BE533" s="35">
        <v>0</v>
      </c>
      <c r="BF533" s="35">
        <f>533</f>
        <v>533</v>
      </c>
      <c r="BH533" s="65">
        <f>H533*AO533</f>
        <v>2940</v>
      </c>
      <c r="BI533" s="65">
        <f>H533*AP533</f>
        <v>0</v>
      </c>
      <c r="BJ533" s="65">
        <f>H533*I533</f>
        <v>2940</v>
      </c>
      <c r="BK533" s="65" t="s">
        <v>1001</v>
      </c>
      <c r="BL533" s="35">
        <v>751</v>
      </c>
    </row>
    <row r="534" spans="1:64" x14ac:dyDescent="0.2">
      <c r="A534" s="19"/>
      <c r="C534" s="59" t="s">
        <v>521</v>
      </c>
      <c r="D534" s="180" t="s">
        <v>939</v>
      </c>
      <c r="E534" s="181"/>
      <c r="F534" s="181"/>
      <c r="G534" s="181"/>
      <c r="H534" s="181"/>
      <c r="I534" s="182"/>
      <c r="J534" s="181"/>
      <c r="K534" s="181"/>
      <c r="L534" s="181"/>
      <c r="M534" s="183"/>
      <c r="N534" s="19"/>
    </row>
    <row r="535" spans="1:64" x14ac:dyDescent="0.2">
      <c r="A535" s="47" t="s">
        <v>384</v>
      </c>
      <c r="B535" s="55" t="s">
        <v>65</v>
      </c>
      <c r="C535" s="55" t="s">
        <v>606</v>
      </c>
      <c r="D535" s="178" t="s">
        <v>940</v>
      </c>
      <c r="E535" s="179"/>
      <c r="F535" s="179"/>
      <c r="G535" s="55" t="s">
        <v>1003</v>
      </c>
      <c r="H535" s="64">
        <v>12</v>
      </c>
      <c r="I535" s="71">
        <v>178</v>
      </c>
      <c r="J535" s="64">
        <f>H535*AO535</f>
        <v>0</v>
      </c>
      <c r="K535" s="64">
        <f>H535*AP535</f>
        <v>2136</v>
      </c>
      <c r="L535" s="64">
        <f>H535*I535</f>
        <v>2136</v>
      </c>
      <c r="M535" s="79"/>
      <c r="N535" s="19"/>
      <c r="Z535" s="35">
        <f>IF(AQ535="5",BJ535,0)</f>
        <v>0</v>
      </c>
      <c r="AB535" s="35">
        <f>IF(AQ535="1",BH535,0)</f>
        <v>0</v>
      </c>
      <c r="AC535" s="35">
        <f>IF(AQ535="1",BI535,0)</f>
        <v>0</v>
      </c>
      <c r="AD535" s="35">
        <f>IF(AQ535="7",BH535,0)</f>
        <v>0</v>
      </c>
      <c r="AE535" s="35">
        <f>IF(AQ535="7",BI535,0)</f>
        <v>2136</v>
      </c>
      <c r="AF535" s="35">
        <f>IF(AQ535="2",BH535,0)</f>
        <v>0</v>
      </c>
      <c r="AG535" s="35">
        <f>IF(AQ535="2",BI535,0)</f>
        <v>0</v>
      </c>
      <c r="AH535" s="35">
        <f>IF(AQ535="0",BJ535,0)</f>
        <v>0</v>
      </c>
      <c r="AI535" s="83" t="s">
        <v>65</v>
      </c>
      <c r="AJ535" s="64">
        <f>IF(AN535=0,L535,0)</f>
        <v>0</v>
      </c>
      <c r="AK535" s="64">
        <f>IF(AN535=15,L535,0)</f>
        <v>0</v>
      </c>
      <c r="AL535" s="64">
        <f>IF(AN535=21,L535,0)</f>
        <v>2136</v>
      </c>
      <c r="AN535" s="35">
        <v>21</v>
      </c>
      <c r="AO535" s="35">
        <f>I535*0</f>
        <v>0</v>
      </c>
      <c r="AP535" s="35">
        <f>I535*(1-0)</f>
        <v>178</v>
      </c>
      <c r="AQ535" s="84" t="s">
        <v>144</v>
      </c>
      <c r="AV535" s="35">
        <f>AW535+AX535</f>
        <v>2136</v>
      </c>
      <c r="AW535" s="35">
        <f>H535*AO535</f>
        <v>0</v>
      </c>
      <c r="AX535" s="35">
        <f>H535*AP535</f>
        <v>2136</v>
      </c>
      <c r="AY535" s="86" t="s">
        <v>1046</v>
      </c>
      <c r="AZ535" s="86" t="s">
        <v>1068</v>
      </c>
      <c r="BA535" s="83" t="s">
        <v>1079</v>
      </c>
      <c r="BC535" s="35">
        <f>AW535+AX535</f>
        <v>2136</v>
      </c>
      <c r="BD535" s="35">
        <f>I535/(100-BE535)*100</f>
        <v>178</v>
      </c>
      <c r="BE535" s="35">
        <v>0</v>
      </c>
      <c r="BF535" s="35">
        <f>535</f>
        <v>535</v>
      </c>
      <c r="BH535" s="64">
        <f>H535*AO535</f>
        <v>0</v>
      </c>
      <c r="BI535" s="64">
        <f>H535*AP535</f>
        <v>2136</v>
      </c>
      <c r="BJ535" s="64">
        <f>H535*I535</f>
        <v>2136</v>
      </c>
      <c r="BK535" s="64" t="s">
        <v>1086</v>
      </c>
      <c r="BL535" s="35">
        <v>751</v>
      </c>
    </row>
    <row r="536" spans="1:64" x14ac:dyDescent="0.2">
      <c r="A536" s="19"/>
      <c r="C536" s="59" t="s">
        <v>521</v>
      </c>
      <c r="D536" s="180" t="s">
        <v>940</v>
      </c>
      <c r="E536" s="181"/>
      <c r="F536" s="181"/>
      <c r="G536" s="181"/>
      <c r="H536" s="181"/>
      <c r="I536" s="182"/>
      <c r="J536" s="181"/>
      <c r="K536" s="181"/>
      <c r="L536" s="181"/>
      <c r="M536" s="183"/>
      <c r="N536" s="19"/>
    </row>
    <row r="537" spans="1:64" x14ac:dyDescent="0.2">
      <c r="A537" s="49" t="s">
        <v>385</v>
      </c>
      <c r="B537" s="57" t="s">
        <v>65</v>
      </c>
      <c r="C537" s="57" t="s">
        <v>739</v>
      </c>
      <c r="D537" s="186" t="s">
        <v>941</v>
      </c>
      <c r="E537" s="187"/>
      <c r="F537" s="187"/>
      <c r="G537" s="57" t="s">
        <v>1004</v>
      </c>
      <c r="H537" s="65">
        <v>2</v>
      </c>
      <c r="I537" s="73">
        <v>751</v>
      </c>
      <c r="J537" s="65">
        <f>H537*AO537</f>
        <v>1502</v>
      </c>
      <c r="K537" s="65">
        <f>H537*AP537</f>
        <v>0</v>
      </c>
      <c r="L537" s="65">
        <f>H537*I537</f>
        <v>1502</v>
      </c>
      <c r="M537" s="81"/>
      <c r="N537" s="19"/>
      <c r="Z537" s="35">
        <f>IF(AQ537="5",BJ537,0)</f>
        <v>0</v>
      </c>
      <c r="AB537" s="35">
        <f>IF(AQ537="1",BH537,0)</f>
        <v>0</v>
      </c>
      <c r="AC537" s="35">
        <f>IF(AQ537="1",BI537,0)</f>
        <v>0</v>
      </c>
      <c r="AD537" s="35">
        <f>IF(AQ537="7",BH537,0)</f>
        <v>1502</v>
      </c>
      <c r="AE537" s="35">
        <f>IF(AQ537="7",BI537,0)</f>
        <v>0</v>
      </c>
      <c r="AF537" s="35">
        <f>IF(AQ537="2",BH537,0)</f>
        <v>0</v>
      </c>
      <c r="AG537" s="35">
        <f>IF(AQ537="2",BI537,0)</f>
        <v>0</v>
      </c>
      <c r="AH537" s="35">
        <f>IF(AQ537="0",BJ537,0)</f>
        <v>0</v>
      </c>
      <c r="AI537" s="83" t="s">
        <v>65</v>
      </c>
      <c r="AJ537" s="65">
        <f>IF(AN537=0,L537,0)</f>
        <v>0</v>
      </c>
      <c r="AK537" s="65">
        <f>IF(AN537=15,L537,0)</f>
        <v>0</v>
      </c>
      <c r="AL537" s="65">
        <f>IF(AN537=21,L537,0)</f>
        <v>1502</v>
      </c>
      <c r="AN537" s="35">
        <v>21</v>
      </c>
      <c r="AO537" s="35">
        <f>I537*1</f>
        <v>751</v>
      </c>
      <c r="AP537" s="35">
        <f>I537*(1-1)</f>
        <v>0</v>
      </c>
      <c r="AQ537" s="85" t="s">
        <v>144</v>
      </c>
      <c r="AV537" s="35">
        <f>AW537+AX537</f>
        <v>1502</v>
      </c>
      <c r="AW537" s="35">
        <f>H537*AO537</f>
        <v>1502</v>
      </c>
      <c r="AX537" s="35">
        <f>H537*AP537</f>
        <v>0</v>
      </c>
      <c r="AY537" s="86" t="s">
        <v>1046</v>
      </c>
      <c r="AZ537" s="86" t="s">
        <v>1068</v>
      </c>
      <c r="BA537" s="83" t="s">
        <v>1079</v>
      </c>
      <c r="BC537" s="35">
        <f>AW537+AX537</f>
        <v>1502</v>
      </c>
      <c r="BD537" s="35">
        <f>I537/(100-BE537)*100</f>
        <v>751</v>
      </c>
      <c r="BE537" s="35">
        <v>0</v>
      </c>
      <c r="BF537" s="35">
        <f>537</f>
        <v>537</v>
      </c>
      <c r="BH537" s="65">
        <f>H537*AO537</f>
        <v>1502</v>
      </c>
      <c r="BI537" s="65">
        <f>H537*AP537</f>
        <v>0</v>
      </c>
      <c r="BJ537" s="65">
        <f>H537*I537</f>
        <v>1502</v>
      </c>
      <c r="BK537" s="65" t="s">
        <v>1001</v>
      </c>
      <c r="BL537" s="35">
        <v>751</v>
      </c>
    </row>
    <row r="538" spans="1:64" x14ac:dyDescent="0.2">
      <c r="A538" s="19"/>
      <c r="C538" s="59" t="s">
        <v>521</v>
      </c>
      <c r="D538" s="180" t="s">
        <v>941</v>
      </c>
      <c r="E538" s="181"/>
      <c r="F538" s="181"/>
      <c r="G538" s="181"/>
      <c r="H538" s="181"/>
      <c r="I538" s="182"/>
      <c r="J538" s="181"/>
      <c r="K538" s="181"/>
      <c r="L538" s="181"/>
      <c r="M538" s="183"/>
      <c r="N538" s="19"/>
    </row>
    <row r="539" spans="1:64" x14ac:dyDescent="0.2">
      <c r="A539" s="49" t="s">
        <v>386</v>
      </c>
      <c r="B539" s="57" t="s">
        <v>65</v>
      </c>
      <c r="C539" s="57" t="s">
        <v>740</v>
      </c>
      <c r="D539" s="186" t="s">
        <v>943</v>
      </c>
      <c r="E539" s="187"/>
      <c r="F539" s="187"/>
      <c r="G539" s="57" t="s">
        <v>1004</v>
      </c>
      <c r="H539" s="65">
        <v>2</v>
      </c>
      <c r="I539" s="73">
        <v>751</v>
      </c>
      <c r="J539" s="65">
        <f>H539*AO539</f>
        <v>1502</v>
      </c>
      <c r="K539" s="65">
        <f>H539*AP539</f>
        <v>0</v>
      </c>
      <c r="L539" s="65">
        <f>H539*I539</f>
        <v>1502</v>
      </c>
      <c r="M539" s="81"/>
      <c r="N539" s="19"/>
      <c r="Z539" s="35">
        <f>IF(AQ539="5",BJ539,0)</f>
        <v>0</v>
      </c>
      <c r="AB539" s="35">
        <f>IF(AQ539="1",BH539,0)</f>
        <v>0</v>
      </c>
      <c r="AC539" s="35">
        <f>IF(AQ539="1",BI539,0)</f>
        <v>0</v>
      </c>
      <c r="AD539" s="35">
        <f>IF(AQ539="7",BH539,0)</f>
        <v>1502</v>
      </c>
      <c r="AE539" s="35">
        <f>IF(AQ539="7",BI539,0)</f>
        <v>0</v>
      </c>
      <c r="AF539" s="35">
        <f>IF(AQ539="2",BH539,0)</f>
        <v>0</v>
      </c>
      <c r="AG539" s="35">
        <f>IF(AQ539="2",BI539,0)</f>
        <v>0</v>
      </c>
      <c r="AH539" s="35">
        <f>IF(AQ539="0",BJ539,0)</f>
        <v>0</v>
      </c>
      <c r="AI539" s="83" t="s">
        <v>65</v>
      </c>
      <c r="AJ539" s="65">
        <f>IF(AN539=0,L539,0)</f>
        <v>0</v>
      </c>
      <c r="AK539" s="65">
        <f>IF(AN539=15,L539,0)</f>
        <v>0</v>
      </c>
      <c r="AL539" s="65">
        <f>IF(AN539=21,L539,0)</f>
        <v>1502</v>
      </c>
      <c r="AN539" s="35">
        <v>21</v>
      </c>
      <c r="AO539" s="35">
        <f>I539*1</f>
        <v>751</v>
      </c>
      <c r="AP539" s="35">
        <f>I539*(1-1)</f>
        <v>0</v>
      </c>
      <c r="AQ539" s="85" t="s">
        <v>144</v>
      </c>
      <c r="AV539" s="35">
        <f>AW539+AX539</f>
        <v>1502</v>
      </c>
      <c r="AW539" s="35">
        <f>H539*AO539</f>
        <v>1502</v>
      </c>
      <c r="AX539" s="35">
        <f>H539*AP539</f>
        <v>0</v>
      </c>
      <c r="AY539" s="86" t="s">
        <v>1046</v>
      </c>
      <c r="AZ539" s="86" t="s">
        <v>1068</v>
      </c>
      <c r="BA539" s="83" t="s">
        <v>1079</v>
      </c>
      <c r="BC539" s="35">
        <f>AW539+AX539</f>
        <v>1502</v>
      </c>
      <c r="BD539" s="35">
        <f>I539/(100-BE539)*100</f>
        <v>751</v>
      </c>
      <c r="BE539" s="35">
        <v>0</v>
      </c>
      <c r="BF539" s="35">
        <f>539</f>
        <v>539</v>
      </c>
      <c r="BH539" s="65">
        <f>H539*AO539</f>
        <v>1502</v>
      </c>
      <c r="BI539" s="65">
        <f>H539*AP539</f>
        <v>0</v>
      </c>
      <c r="BJ539" s="65">
        <f>H539*I539</f>
        <v>1502</v>
      </c>
      <c r="BK539" s="65" t="s">
        <v>1001</v>
      </c>
      <c r="BL539" s="35">
        <v>751</v>
      </c>
    </row>
    <row r="540" spans="1:64" x14ac:dyDescent="0.2">
      <c r="A540" s="19"/>
      <c r="C540" s="59" t="s">
        <v>521</v>
      </c>
      <c r="D540" s="180" t="s">
        <v>943</v>
      </c>
      <c r="E540" s="181"/>
      <c r="F540" s="181"/>
      <c r="G540" s="181"/>
      <c r="H540" s="181"/>
      <c r="I540" s="182"/>
      <c r="J540" s="181"/>
      <c r="K540" s="181"/>
      <c r="L540" s="181"/>
      <c r="M540" s="183"/>
      <c r="N540" s="19"/>
    </row>
    <row r="541" spans="1:64" x14ac:dyDescent="0.2">
      <c r="A541" s="49" t="s">
        <v>387</v>
      </c>
      <c r="B541" s="57" t="s">
        <v>65</v>
      </c>
      <c r="C541" s="57" t="s">
        <v>741</v>
      </c>
      <c r="D541" s="186" t="s">
        <v>944</v>
      </c>
      <c r="E541" s="187"/>
      <c r="F541" s="187"/>
      <c r="G541" s="57" t="s">
        <v>1004</v>
      </c>
      <c r="H541" s="65">
        <v>2</v>
      </c>
      <c r="I541" s="73">
        <v>642</v>
      </c>
      <c r="J541" s="65">
        <f>H541*AO541</f>
        <v>1284</v>
      </c>
      <c r="K541" s="65">
        <f>H541*AP541</f>
        <v>0</v>
      </c>
      <c r="L541" s="65">
        <f>H541*I541</f>
        <v>1284</v>
      </c>
      <c r="M541" s="81"/>
      <c r="N541" s="19"/>
      <c r="Z541" s="35">
        <f>IF(AQ541="5",BJ541,0)</f>
        <v>0</v>
      </c>
      <c r="AB541" s="35">
        <f>IF(AQ541="1",BH541,0)</f>
        <v>0</v>
      </c>
      <c r="AC541" s="35">
        <f>IF(AQ541="1",BI541,0)</f>
        <v>0</v>
      </c>
      <c r="AD541" s="35">
        <f>IF(AQ541="7",BH541,0)</f>
        <v>1284</v>
      </c>
      <c r="AE541" s="35">
        <f>IF(AQ541="7",BI541,0)</f>
        <v>0</v>
      </c>
      <c r="AF541" s="35">
        <f>IF(AQ541="2",BH541,0)</f>
        <v>0</v>
      </c>
      <c r="AG541" s="35">
        <f>IF(AQ541="2",BI541,0)</f>
        <v>0</v>
      </c>
      <c r="AH541" s="35">
        <f>IF(AQ541="0",BJ541,0)</f>
        <v>0</v>
      </c>
      <c r="AI541" s="83" t="s">
        <v>65</v>
      </c>
      <c r="AJ541" s="65">
        <f>IF(AN541=0,L541,0)</f>
        <v>0</v>
      </c>
      <c r="AK541" s="65">
        <f>IF(AN541=15,L541,0)</f>
        <v>0</v>
      </c>
      <c r="AL541" s="65">
        <f>IF(AN541=21,L541,0)</f>
        <v>1284</v>
      </c>
      <c r="AN541" s="35">
        <v>21</v>
      </c>
      <c r="AO541" s="35">
        <f>I541*1</f>
        <v>642</v>
      </c>
      <c r="AP541" s="35">
        <f>I541*(1-1)</f>
        <v>0</v>
      </c>
      <c r="AQ541" s="85" t="s">
        <v>144</v>
      </c>
      <c r="AV541" s="35">
        <f>AW541+AX541</f>
        <v>1284</v>
      </c>
      <c r="AW541" s="35">
        <f>H541*AO541</f>
        <v>1284</v>
      </c>
      <c r="AX541" s="35">
        <f>H541*AP541</f>
        <v>0</v>
      </c>
      <c r="AY541" s="86" t="s">
        <v>1046</v>
      </c>
      <c r="AZ541" s="86" t="s">
        <v>1068</v>
      </c>
      <c r="BA541" s="83" t="s">
        <v>1079</v>
      </c>
      <c r="BC541" s="35">
        <f>AW541+AX541</f>
        <v>1284</v>
      </c>
      <c r="BD541" s="35">
        <f>I541/(100-BE541)*100</f>
        <v>642</v>
      </c>
      <c r="BE541" s="35">
        <v>0</v>
      </c>
      <c r="BF541" s="35">
        <f>541</f>
        <v>541</v>
      </c>
      <c r="BH541" s="65">
        <f>H541*AO541</f>
        <v>1284</v>
      </c>
      <c r="BI541" s="65">
        <f>H541*AP541</f>
        <v>0</v>
      </c>
      <c r="BJ541" s="65">
        <f>H541*I541</f>
        <v>1284</v>
      </c>
      <c r="BK541" s="65" t="s">
        <v>1001</v>
      </c>
      <c r="BL541" s="35">
        <v>751</v>
      </c>
    </row>
    <row r="542" spans="1:64" x14ac:dyDescent="0.2">
      <c r="A542" s="19"/>
      <c r="C542" s="59" t="s">
        <v>521</v>
      </c>
      <c r="D542" s="180" t="s">
        <v>944</v>
      </c>
      <c r="E542" s="181"/>
      <c r="F542" s="181"/>
      <c r="G542" s="181"/>
      <c r="H542" s="181"/>
      <c r="I542" s="182"/>
      <c r="J542" s="181"/>
      <c r="K542" s="181"/>
      <c r="L542" s="181"/>
      <c r="M542" s="183"/>
      <c r="N542" s="19"/>
    </row>
    <row r="543" spans="1:64" x14ac:dyDescent="0.2">
      <c r="A543" s="49" t="s">
        <v>388</v>
      </c>
      <c r="B543" s="57" t="s">
        <v>65</v>
      </c>
      <c r="C543" s="57" t="s">
        <v>742</v>
      </c>
      <c r="D543" s="186" t="s">
        <v>945</v>
      </c>
      <c r="E543" s="187"/>
      <c r="F543" s="187"/>
      <c r="G543" s="57" t="s">
        <v>1004</v>
      </c>
      <c r="H543" s="65">
        <v>2</v>
      </c>
      <c r="I543" s="73">
        <v>408</v>
      </c>
      <c r="J543" s="65">
        <f>H543*AO543</f>
        <v>816</v>
      </c>
      <c r="K543" s="65">
        <f>H543*AP543</f>
        <v>0</v>
      </c>
      <c r="L543" s="65">
        <f>H543*I543</f>
        <v>816</v>
      </c>
      <c r="M543" s="81"/>
      <c r="N543" s="19"/>
      <c r="Z543" s="35">
        <f>IF(AQ543="5",BJ543,0)</f>
        <v>0</v>
      </c>
      <c r="AB543" s="35">
        <f>IF(AQ543="1",BH543,0)</f>
        <v>0</v>
      </c>
      <c r="AC543" s="35">
        <f>IF(AQ543="1",BI543,0)</f>
        <v>0</v>
      </c>
      <c r="AD543" s="35">
        <f>IF(AQ543="7",BH543,0)</f>
        <v>816</v>
      </c>
      <c r="AE543" s="35">
        <f>IF(AQ543="7",BI543,0)</f>
        <v>0</v>
      </c>
      <c r="AF543" s="35">
        <f>IF(AQ543="2",BH543,0)</f>
        <v>0</v>
      </c>
      <c r="AG543" s="35">
        <f>IF(AQ543="2",BI543,0)</f>
        <v>0</v>
      </c>
      <c r="AH543" s="35">
        <f>IF(AQ543="0",BJ543,0)</f>
        <v>0</v>
      </c>
      <c r="AI543" s="83" t="s">
        <v>65</v>
      </c>
      <c r="AJ543" s="65">
        <f>IF(AN543=0,L543,0)</f>
        <v>0</v>
      </c>
      <c r="AK543" s="65">
        <f>IF(AN543=15,L543,0)</f>
        <v>0</v>
      </c>
      <c r="AL543" s="65">
        <f>IF(AN543=21,L543,0)</f>
        <v>816</v>
      </c>
      <c r="AN543" s="35">
        <v>21</v>
      </c>
      <c r="AO543" s="35">
        <f>I543*1</f>
        <v>408</v>
      </c>
      <c r="AP543" s="35">
        <f>I543*(1-1)</f>
        <v>0</v>
      </c>
      <c r="AQ543" s="85" t="s">
        <v>144</v>
      </c>
      <c r="AV543" s="35">
        <f>AW543+AX543</f>
        <v>816</v>
      </c>
      <c r="AW543" s="35">
        <f>H543*AO543</f>
        <v>816</v>
      </c>
      <c r="AX543" s="35">
        <f>H543*AP543</f>
        <v>0</v>
      </c>
      <c r="AY543" s="86" t="s">
        <v>1046</v>
      </c>
      <c r="AZ543" s="86" t="s">
        <v>1068</v>
      </c>
      <c r="BA543" s="83" t="s">
        <v>1079</v>
      </c>
      <c r="BC543" s="35">
        <f>AW543+AX543</f>
        <v>816</v>
      </c>
      <c r="BD543" s="35">
        <f>I543/(100-BE543)*100</f>
        <v>408</v>
      </c>
      <c r="BE543" s="35">
        <v>0</v>
      </c>
      <c r="BF543" s="35">
        <f>543</f>
        <v>543</v>
      </c>
      <c r="BH543" s="65">
        <f>H543*AO543</f>
        <v>816</v>
      </c>
      <c r="BI543" s="65">
        <f>H543*AP543</f>
        <v>0</v>
      </c>
      <c r="BJ543" s="65">
        <f>H543*I543</f>
        <v>816</v>
      </c>
      <c r="BK543" s="65" t="s">
        <v>1001</v>
      </c>
      <c r="BL543" s="35">
        <v>751</v>
      </c>
    </row>
    <row r="544" spans="1:64" x14ac:dyDescent="0.2">
      <c r="A544" s="19"/>
      <c r="C544" s="59" t="s">
        <v>521</v>
      </c>
      <c r="D544" s="180" t="s">
        <v>945</v>
      </c>
      <c r="E544" s="181"/>
      <c r="F544" s="181"/>
      <c r="G544" s="181"/>
      <c r="H544" s="181"/>
      <c r="I544" s="182"/>
      <c r="J544" s="181"/>
      <c r="K544" s="181"/>
      <c r="L544" s="181"/>
      <c r="M544" s="183"/>
      <c r="N544" s="19"/>
    </row>
    <row r="545" spans="1:64" x14ac:dyDescent="0.2">
      <c r="A545" s="49" t="s">
        <v>389</v>
      </c>
      <c r="B545" s="57" t="s">
        <v>65</v>
      </c>
      <c r="C545" s="57" t="s">
        <v>743</v>
      </c>
      <c r="D545" s="186" t="s">
        <v>946</v>
      </c>
      <c r="E545" s="187"/>
      <c r="F545" s="187"/>
      <c r="G545" s="57" t="s">
        <v>1004</v>
      </c>
      <c r="H545" s="65">
        <v>2</v>
      </c>
      <c r="I545" s="73">
        <v>214</v>
      </c>
      <c r="J545" s="65">
        <f>H545*AO545</f>
        <v>428</v>
      </c>
      <c r="K545" s="65">
        <f>H545*AP545</f>
        <v>0</v>
      </c>
      <c r="L545" s="65">
        <f>H545*I545</f>
        <v>428</v>
      </c>
      <c r="M545" s="81"/>
      <c r="N545" s="19"/>
      <c r="Z545" s="35">
        <f>IF(AQ545="5",BJ545,0)</f>
        <v>0</v>
      </c>
      <c r="AB545" s="35">
        <f>IF(AQ545="1",BH545,0)</f>
        <v>0</v>
      </c>
      <c r="AC545" s="35">
        <f>IF(AQ545="1",BI545,0)</f>
        <v>0</v>
      </c>
      <c r="AD545" s="35">
        <f>IF(AQ545="7",BH545,0)</f>
        <v>428</v>
      </c>
      <c r="AE545" s="35">
        <f>IF(AQ545="7",BI545,0)</f>
        <v>0</v>
      </c>
      <c r="AF545" s="35">
        <f>IF(AQ545="2",BH545,0)</f>
        <v>0</v>
      </c>
      <c r="AG545" s="35">
        <f>IF(AQ545="2",BI545,0)</f>
        <v>0</v>
      </c>
      <c r="AH545" s="35">
        <f>IF(AQ545="0",BJ545,0)</f>
        <v>0</v>
      </c>
      <c r="AI545" s="83" t="s">
        <v>65</v>
      </c>
      <c r="AJ545" s="65">
        <f>IF(AN545=0,L545,0)</f>
        <v>0</v>
      </c>
      <c r="AK545" s="65">
        <f>IF(AN545=15,L545,0)</f>
        <v>0</v>
      </c>
      <c r="AL545" s="65">
        <f>IF(AN545=21,L545,0)</f>
        <v>428</v>
      </c>
      <c r="AN545" s="35">
        <v>21</v>
      </c>
      <c r="AO545" s="35">
        <f>I545*1</f>
        <v>214</v>
      </c>
      <c r="AP545" s="35">
        <f>I545*(1-1)</f>
        <v>0</v>
      </c>
      <c r="AQ545" s="85" t="s">
        <v>144</v>
      </c>
      <c r="AV545" s="35">
        <f>AW545+AX545</f>
        <v>428</v>
      </c>
      <c r="AW545" s="35">
        <f>H545*AO545</f>
        <v>428</v>
      </c>
      <c r="AX545" s="35">
        <f>H545*AP545</f>
        <v>0</v>
      </c>
      <c r="AY545" s="86" t="s">
        <v>1046</v>
      </c>
      <c r="AZ545" s="86" t="s">
        <v>1068</v>
      </c>
      <c r="BA545" s="83" t="s">
        <v>1079</v>
      </c>
      <c r="BC545" s="35">
        <f>AW545+AX545</f>
        <v>428</v>
      </c>
      <c r="BD545" s="35">
        <f>I545/(100-BE545)*100</f>
        <v>214</v>
      </c>
      <c r="BE545" s="35">
        <v>0</v>
      </c>
      <c r="BF545" s="35">
        <f>545</f>
        <v>545</v>
      </c>
      <c r="BH545" s="65">
        <f>H545*AO545</f>
        <v>428</v>
      </c>
      <c r="BI545" s="65">
        <f>H545*AP545</f>
        <v>0</v>
      </c>
      <c r="BJ545" s="65">
        <f>H545*I545</f>
        <v>428</v>
      </c>
      <c r="BK545" s="65" t="s">
        <v>1001</v>
      </c>
      <c r="BL545" s="35">
        <v>751</v>
      </c>
    </row>
    <row r="546" spans="1:64" x14ac:dyDescent="0.2">
      <c r="A546" s="19"/>
      <c r="C546" s="59" t="s">
        <v>521</v>
      </c>
      <c r="D546" s="180" t="s">
        <v>945</v>
      </c>
      <c r="E546" s="181"/>
      <c r="F546" s="181"/>
      <c r="G546" s="181"/>
      <c r="H546" s="181"/>
      <c r="I546" s="182"/>
      <c r="J546" s="181"/>
      <c r="K546" s="181"/>
      <c r="L546" s="181"/>
      <c r="M546" s="183"/>
      <c r="N546" s="19"/>
    </row>
    <row r="547" spans="1:64" x14ac:dyDescent="0.2">
      <c r="A547" s="49" t="s">
        <v>390</v>
      </c>
      <c r="B547" s="57" t="s">
        <v>65</v>
      </c>
      <c r="C547" s="57" t="s">
        <v>682</v>
      </c>
      <c r="D547" s="186" t="s">
        <v>942</v>
      </c>
      <c r="E547" s="187"/>
      <c r="F547" s="187"/>
      <c r="G547" s="57" t="s">
        <v>1004</v>
      </c>
      <c r="H547" s="65">
        <v>1</v>
      </c>
      <c r="I547" s="73">
        <v>642</v>
      </c>
      <c r="J547" s="65">
        <f>H547*AO547</f>
        <v>642</v>
      </c>
      <c r="K547" s="65">
        <f>H547*AP547</f>
        <v>0</v>
      </c>
      <c r="L547" s="65">
        <f>H547*I547</f>
        <v>642</v>
      </c>
      <c r="M547" s="81"/>
      <c r="N547" s="19"/>
      <c r="Z547" s="35">
        <f>IF(AQ547="5",BJ547,0)</f>
        <v>0</v>
      </c>
      <c r="AB547" s="35">
        <f>IF(AQ547="1",BH547,0)</f>
        <v>0</v>
      </c>
      <c r="AC547" s="35">
        <f>IF(AQ547="1",BI547,0)</f>
        <v>0</v>
      </c>
      <c r="AD547" s="35">
        <f>IF(AQ547="7",BH547,0)</f>
        <v>642</v>
      </c>
      <c r="AE547" s="35">
        <f>IF(AQ547="7",BI547,0)</f>
        <v>0</v>
      </c>
      <c r="AF547" s="35">
        <f>IF(AQ547="2",BH547,0)</f>
        <v>0</v>
      </c>
      <c r="AG547" s="35">
        <f>IF(AQ547="2",BI547,0)</f>
        <v>0</v>
      </c>
      <c r="AH547" s="35">
        <f>IF(AQ547="0",BJ547,0)</f>
        <v>0</v>
      </c>
      <c r="AI547" s="83" t="s">
        <v>65</v>
      </c>
      <c r="AJ547" s="65">
        <f>IF(AN547=0,L547,0)</f>
        <v>0</v>
      </c>
      <c r="AK547" s="65">
        <f>IF(AN547=15,L547,0)</f>
        <v>0</v>
      </c>
      <c r="AL547" s="65">
        <f>IF(AN547=21,L547,0)</f>
        <v>642</v>
      </c>
      <c r="AN547" s="35">
        <v>21</v>
      </c>
      <c r="AO547" s="35">
        <f>I547*1</f>
        <v>642</v>
      </c>
      <c r="AP547" s="35">
        <f>I547*(1-1)</f>
        <v>0</v>
      </c>
      <c r="AQ547" s="85" t="s">
        <v>144</v>
      </c>
      <c r="AV547" s="35">
        <f>AW547+AX547</f>
        <v>642</v>
      </c>
      <c r="AW547" s="35">
        <f>H547*AO547</f>
        <v>642</v>
      </c>
      <c r="AX547" s="35">
        <f>H547*AP547</f>
        <v>0</v>
      </c>
      <c r="AY547" s="86" t="s">
        <v>1046</v>
      </c>
      <c r="AZ547" s="86" t="s">
        <v>1068</v>
      </c>
      <c r="BA547" s="83" t="s">
        <v>1079</v>
      </c>
      <c r="BC547" s="35">
        <f>AW547+AX547</f>
        <v>642</v>
      </c>
      <c r="BD547" s="35">
        <f>I547/(100-BE547)*100</f>
        <v>642</v>
      </c>
      <c r="BE547" s="35">
        <v>0</v>
      </c>
      <c r="BF547" s="35">
        <f>547</f>
        <v>547</v>
      </c>
      <c r="BH547" s="65">
        <f>H547*AO547</f>
        <v>642</v>
      </c>
      <c r="BI547" s="65">
        <f>H547*AP547</f>
        <v>0</v>
      </c>
      <c r="BJ547" s="65">
        <f>H547*I547</f>
        <v>642</v>
      </c>
      <c r="BK547" s="65" t="s">
        <v>1001</v>
      </c>
      <c r="BL547" s="35">
        <v>751</v>
      </c>
    </row>
    <row r="548" spans="1:64" x14ac:dyDescent="0.2">
      <c r="A548" s="19"/>
      <c r="C548" s="59" t="s">
        <v>521</v>
      </c>
      <c r="D548" s="180" t="s">
        <v>942</v>
      </c>
      <c r="E548" s="181"/>
      <c r="F548" s="181"/>
      <c r="G548" s="181"/>
      <c r="H548" s="181"/>
      <c r="I548" s="182"/>
      <c r="J548" s="181"/>
      <c r="K548" s="181"/>
      <c r="L548" s="181"/>
      <c r="M548" s="183"/>
      <c r="N548" s="19"/>
    </row>
    <row r="549" spans="1:64" x14ac:dyDescent="0.2">
      <c r="A549" s="49" t="s">
        <v>391</v>
      </c>
      <c r="B549" s="57" t="s">
        <v>65</v>
      </c>
      <c r="C549" s="57" t="s">
        <v>683</v>
      </c>
      <c r="D549" s="186" t="s">
        <v>947</v>
      </c>
      <c r="E549" s="187"/>
      <c r="F549" s="187"/>
      <c r="G549" s="57" t="s">
        <v>1004</v>
      </c>
      <c r="H549" s="65">
        <v>1</v>
      </c>
      <c r="I549" s="73">
        <v>221</v>
      </c>
      <c r="J549" s="65">
        <f>H549*AO549</f>
        <v>221</v>
      </c>
      <c r="K549" s="65">
        <f>H549*AP549</f>
        <v>0</v>
      </c>
      <c r="L549" s="65">
        <f>H549*I549</f>
        <v>221</v>
      </c>
      <c r="M549" s="81"/>
      <c r="N549" s="19"/>
      <c r="Z549" s="35">
        <f>IF(AQ549="5",BJ549,0)</f>
        <v>0</v>
      </c>
      <c r="AB549" s="35">
        <f>IF(AQ549="1",BH549,0)</f>
        <v>0</v>
      </c>
      <c r="AC549" s="35">
        <f>IF(AQ549="1",BI549,0)</f>
        <v>0</v>
      </c>
      <c r="AD549" s="35">
        <f>IF(AQ549="7",BH549,0)</f>
        <v>221</v>
      </c>
      <c r="AE549" s="35">
        <f>IF(AQ549="7",BI549,0)</f>
        <v>0</v>
      </c>
      <c r="AF549" s="35">
        <f>IF(AQ549="2",BH549,0)</f>
        <v>0</v>
      </c>
      <c r="AG549" s="35">
        <f>IF(AQ549="2",BI549,0)</f>
        <v>0</v>
      </c>
      <c r="AH549" s="35">
        <f>IF(AQ549="0",BJ549,0)</f>
        <v>0</v>
      </c>
      <c r="AI549" s="83" t="s">
        <v>65</v>
      </c>
      <c r="AJ549" s="65">
        <f>IF(AN549=0,L549,0)</f>
        <v>0</v>
      </c>
      <c r="AK549" s="65">
        <f>IF(AN549=15,L549,0)</f>
        <v>0</v>
      </c>
      <c r="AL549" s="65">
        <f>IF(AN549=21,L549,0)</f>
        <v>221</v>
      </c>
      <c r="AN549" s="35">
        <v>21</v>
      </c>
      <c r="AO549" s="35">
        <f>I549*1</f>
        <v>221</v>
      </c>
      <c r="AP549" s="35">
        <f>I549*(1-1)</f>
        <v>0</v>
      </c>
      <c r="AQ549" s="85" t="s">
        <v>144</v>
      </c>
      <c r="AV549" s="35">
        <f>AW549+AX549</f>
        <v>221</v>
      </c>
      <c r="AW549" s="35">
        <f>H549*AO549</f>
        <v>221</v>
      </c>
      <c r="AX549" s="35">
        <f>H549*AP549</f>
        <v>0</v>
      </c>
      <c r="AY549" s="86" t="s">
        <v>1046</v>
      </c>
      <c r="AZ549" s="86" t="s">
        <v>1068</v>
      </c>
      <c r="BA549" s="83" t="s">
        <v>1079</v>
      </c>
      <c r="BC549" s="35">
        <f>AW549+AX549</f>
        <v>221</v>
      </c>
      <c r="BD549" s="35">
        <f>I549/(100-BE549)*100</f>
        <v>221</v>
      </c>
      <c r="BE549" s="35">
        <v>0</v>
      </c>
      <c r="BF549" s="35">
        <f>549</f>
        <v>549</v>
      </c>
      <c r="BH549" s="65">
        <f>H549*AO549</f>
        <v>221</v>
      </c>
      <c r="BI549" s="65">
        <f>H549*AP549</f>
        <v>0</v>
      </c>
      <c r="BJ549" s="65">
        <f>H549*I549</f>
        <v>221</v>
      </c>
      <c r="BK549" s="65" t="s">
        <v>1001</v>
      </c>
      <c r="BL549" s="35">
        <v>751</v>
      </c>
    </row>
    <row r="550" spans="1:64" x14ac:dyDescent="0.2">
      <c r="A550" s="19"/>
      <c r="C550" s="59" t="s">
        <v>521</v>
      </c>
      <c r="D550" s="180" t="s">
        <v>947</v>
      </c>
      <c r="E550" s="181"/>
      <c r="F550" s="181"/>
      <c r="G550" s="181"/>
      <c r="H550" s="181"/>
      <c r="I550" s="182"/>
      <c r="J550" s="181"/>
      <c r="K550" s="181"/>
      <c r="L550" s="181"/>
      <c r="M550" s="183"/>
      <c r="N550" s="19"/>
    </row>
    <row r="551" spans="1:64" x14ac:dyDescent="0.2">
      <c r="A551" s="47" t="s">
        <v>392</v>
      </c>
      <c r="B551" s="55" t="s">
        <v>65</v>
      </c>
      <c r="C551" s="55" t="s">
        <v>614</v>
      </c>
      <c r="D551" s="178" t="s">
        <v>948</v>
      </c>
      <c r="E551" s="179"/>
      <c r="F551" s="179"/>
      <c r="G551" s="55" t="s">
        <v>1003</v>
      </c>
      <c r="H551" s="64">
        <v>3</v>
      </c>
      <c r="I551" s="71">
        <v>89</v>
      </c>
      <c r="J551" s="64">
        <f>H551*AO551</f>
        <v>0</v>
      </c>
      <c r="K551" s="64">
        <f>H551*AP551</f>
        <v>267</v>
      </c>
      <c r="L551" s="64">
        <f>H551*I551</f>
        <v>267</v>
      </c>
      <c r="M551" s="79"/>
      <c r="N551" s="19"/>
      <c r="Z551" s="35">
        <f>IF(AQ551="5",BJ551,0)</f>
        <v>0</v>
      </c>
      <c r="AB551" s="35">
        <f>IF(AQ551="1",BH551,0)</f>
        <v>0</v>
      </c>
      <c r="AC551" s="35">
        <f>IF(AQ551="1",BI551,0)</f>
        <v>0</v>
      </c>
      <c r="AD551" s="35">
        <f>IF(AQ551="7",BH551,0)</f>
        <v>0</v>
      </c>
      <c r="AE551" s="35">
        <f>IF(AQ551="7",BI551,0)</f>
        <v>267</v>
      </c>
      <c r="AF551" s="35">
        <f>IF(AQ551="2",BH551,0)</f>
        <v>0</v>
      </c>
      <c r="AG551" s="35">
        <f>IF(AQ551="2",BI551,0)</f>
        <v>0</v>
      </c>
      <c r="AH551" s="35">
        <f>IF(AQ551="0",BJ551,0)</f>
        <v>0</v>
      </c>
      <c r="AI551" s="83" t="s">
        <v>65</v>
      </c>
      <c r="AJ551" s="64">
        <f>IF(AN551=0,L551,0)</f>
        <v>0</v>
      </c>
      <c r="AK551" s="64">
        <f>IF(AN551=15,L551,0)</f>
        <v>0</v>
      </c>
      <c r="AL551" s="64">
        <f>IF(AN551=21,L551,0)</f>
        <v>267</v>
      </c>
      <c r="AN551" s="35">
        <v>21</v>
      </c>
      <c r="AO551" s="35">
        <f>I551*0</f>
        <v>0</v>
      </c>
      <c r="AP551" s="35">
        <f>I551*(1-0)</f>
        <v>89</v>
      </c>
      <c r="AQ551" s="84" t="s">
        <v>144</v>
      </c>
      <c r="AV551" s="35">
        <f>AW551+AX551</f>
        <v>267</v>
      </c>
      <c r="AW551" s="35">
        <f>H551*AO551</f>
        <v>0</v>
      </c>
      <c r="AX551" s="35">
        <f>H551*AP551</f>
        <v>267</v>
      </c>
      <c r="AY551" s="86" t="s">
        <v>1046</v>
      </c>
      <c r="AZ551" s="86" t="s">
        <v>1068</v>
      </c>
      <c r="BA551" s="83" t="s">
        <v>1079</v>
      </c>
      <c r="BC551" s="35">
        <f>AW551+AX551</f>
        <v>267</v>
      </c>
      <c r="BD551" s="35">
        <f>I551/(100-BE551)*100</f>
        <v>89</v>
      </c>
      <c r="BE551" s="35">
        <v>0</v>
      </c>
      <c r="BF551" s="35">
        <f>551</f>
        <v>551</v>
      </c>
      <c r="BH551" s="64">
        <f>H551*AO551</f>
        <v>0</v>
      </c>
      <c r="BI551" s="64">
        <f>H551*AP551</f>
        <v>267</v>
      </c>
      <c r="BJ551" s="64">
        <f>H551*I551</f>
        <v>267</v>
      </c>
      <c r="BK551" s="64" t="s">
        <v>1086</v>
      </c>
      <c r="BL551" s="35">
        <v>751</v>
      </c>
    </row>
    <row r="552" spans="1:64" x14ac:dyDescent="0.2">
      <c r="A552" s="19"/>
      <c r="C552" s="59" t="s">
        <v>521</v>
      </c>
      <c r="D552" s="180" t="s">
        <v>948</v>
      </c>
      <c r="E552" s="181"/>
      <c r="F552" s="181"/>
      <c r="G552" s="181"/>
      <c r="H552" s="181"/>
      <c r="I552" s="182"/>
      <c r="J552" s="181"/>
      <c r="K552" s="181"/>
      <c r="L552" s="181"/>
      <c r="M552" s="183"/>
      <c r="N552" s="19"/>
    </row>
    <row r="553" spans="1:64" x14ac:dyDescent="0.2">
      <c r="A553" s="49" t="s">
        <v>393</v>
      </c>
      <c r="B553" s="57" t="s">
        <v>65</v>
      </c>
      <c r="C553" s="57" t="s">
        <v>744</v>
      </c>
      <c r="D553" s="186" t="s">
        <v>949</v>
      </c>
      <c r="E553" s="187"/>
      <c r="F553" s="187"/>
      <c r="G553" s="57"/>
      <c r="H553" s="65">
        <v>3</v>
      </c>
      <c r="I553" s="73">
        <v>470</v>
      </c>
      <c r="J553" s="65">
        <f>H553*AO553</f>
        <v>1410</v>
      </c>
      <c r="K553" s="65">
        <f>H553*AP553</f>
        <v>0</v>
      </c>
      <c r="L553" s="65">
        <f>H553*I553</f>
        <v>1410</v>
      </c>
      <c r="M553" s="81"/>
      <c r="N553" s="19"/>
      <c r="Z553" s="35">
        <f>IF(AQ553="5",BJ553,0)</f>
        <v>0</v>
      </c>
      <c r="AB553" s="35">
        <f>IF(AQ553="1",BH553,0)</f>
        <v>0</v>
      </c>
      <c r="AC553" s="35">
        <f>IF(AQ553="1",BI553,0)</f>
        <v>0</v>
      </c>
      <c r="AD553" s="35">
        <f>IF(AQ553="7",BH553,0)</f>
        <v>1410</v>
      </c>
      <c r="AE553" s="35">
        <f>IF(AQ553="7",BI553,0)</f>
        <v>0</v>
      </c>
      <c r="AF553" s="35">
        <f>IF(AQ553="2",BH553,0)</f>
        <v>0</v>
      </c>
      <c r="AG553" s="35">
        <f>IF(AQ553="2",BI553,0)</f>
        <v>0</v>
      </c>
      <c r="AH553" s="35">
        <f>IF(AQ553="0",BJ553,0)</f>
        <v>0</v>
      </c>
      <c r="AI553" s="83" t="s">
        <v>65</v>
      </c>
      <c r="AJ553" s="65">
        <f>IF(AN553=0,L553,0)</f>
        <v>0</v>
      </c>
      <c r="AK553" s="65">
        <f>IF(AN553=15,L553,0)</f>
        <v>0</v>
      </c>
      <c r="AL553" s="65">
        <f>IF(AN553=21,L553,0)</f>
        <v>1410</v>
      </c>
      <c r="AN553" s="35">
        <v>21</v>
      </c>
      <c r="AO553" s="35">
        <f>I553*1</f>
        <v>470</v>
      </c>
      <c r="AP553" s="35">
        <f>I553*(1-1)</f>
        <v>0</v>
      </c>
      <c r="AQ553" s="85" t="s">
        <v>144</v>
      </c>
      <c r="AV553" s="35">
        <f>AW553+AX553</f>
        <v>1410</v>
      </c>
      <c r="AW553" s="35">
        <f>H553*AO553</f>
        <v>1410</v>
      </c>
      <c r="AX553" s="35">
        <f>H553*AP553</f>
        <v>0</v>
      </c>
      <c r="AY553" s="86" t="s">
        <v>1046</v>
      </c>
      <c r="AZ553" s="86" t="s">
        <v>1068</v>
      </c>
      <c r="BA553" s="83" t="s">
        <v>1079</v>
      </c>
      <c r="BC553" s="35">
        <f>AW553+AX553</f>
        <v>1410</v>
      </c>
      <c r="BD553" s="35">
        <f>I553/(100-BE553)*100</f>
        <v>470</v>
      </c>
      <c r="BE553" s="35">
        <v>0</v>
      </c>
      <c r="BF553" s="35">
        <f>553</f>
        <v>553</v>
      </c>
      <c r="BH553" s="65">
        <f>H553*AO553</f>
        <v>1410</v>
      </c>
      <c r="BI553" s="65">
        <f>H553*AP553</f>
        <v>0</v>
      </c>
      <c r="BJ553" s="65">
        <f>H553*I553</f>
        <v>1410</v>
      </c>
      <c r="BK553" s="65" t="s">
        <v>1001</v>
      </c>
      <c r="BL553" s="35">
        <v>751</v>
      </c>
    </row>
    <row r="554" spans="1:64" x14ac:dyDescent="0.2">
      <c r="A554" s="19"/>
      <c r="C554" s="59" t="s">
        <v>521</v>
      </c>
      <c r="D554" s="180" t="s">
        <v>949</v>
      </c>
      <c r="E554" s="181"/>
      <c r="F554" s="181"/>
      <c r="G554" s="181"/>
      <c r="H554" s="181"/>
      <c r="I554" s="182"/>
      <c r="J554" s="181"/>
      <c r="K554" s="181"/>
      <c r="L554" s="181"/>
      <c r="M554" s="183"/>
      <c r="N554" s="19"/>
    </row>
    <row r="555" spans="1:64" x14ac:dyDescent="0.2">
      <c r="A555" s="47" t="s">
        <v>394</v>
      </c>
      <c r="B555" s="55" t="s">
        <v>65</v>
      </c>
      <c r="C555" s="55" t="s">
        <v>616</v>
      </c>
      <c r="D555" s="178" t="s">
        <v>970</v>
      </c>
      <c r="E555" s="179"/>
      <c r="F555" s="179"/>
      <c r="G555" s="55" t="s">
        <v>1003</v>
      </c>
      <c r="H555" s="64">
        <v>4</v>
      </c>
      <c r="I555" s="71">
        <v>310</v>
      </c>
      <c r="J555" s="64">
        <f>H555*AO555</f>
        <v>0</v>
      </c>
      <c r="K555" s="64">
        <f>H555*AP555</f>
        <v>1240</v>
      </c>
      <c r="L555" s="64">
        <f>H555*I555</f>
        <v>1240</v>
      </c>
      <c r="M555" s="79"/>
      <c r="N555" s="19"/>
      <c r="Z555" s="35">
        <f>IF(AQ555="5",BJ555,0)</f>
        <v>0</v>
      </c>
      <c r="AB555" s="35">
        <f>IF(AQ555="1",BH555,0)</f>
        <v>0</v>
      </c>
      <c r="AC555" s="35">
        <f>IF(AQ555="1",BI555,0)</f>
        <v>0</v>
      </c>
      <c r="AD555" s="35">
        <f>IF(AQ555="7",BH555,0)</f>
        <v>0</v>
      </c>
      <c r="AE555" s="35">
        <f>IF(AQ555="7",BI555,0)</f>
        <v>1240</v>
      </c>
      <c r="AF555" s="35">
        <f>IF(AQ555="2",BH555,0)</f>
        <v>0</v>
      </c>
      <c r="AG555" s="35">
        <f>IF(AQ555="2",BI555,0)</f>
        <v>0</v>
      </c>
      <c r="AH555" s="35">
        <f>IF(AQ555="0",BJ555,0)</f>
        <v>0</v>
      </c>
      <c r="AI555" s="83" t="s">
        <v>65</v>
      </c>
      <c r="AJ555" s="64">
        <f>IF(AN555=0,L555,0)</f>
        <v>0</v>
      </c>
      <c r="AK555" s="64">
        <f>IF(AN555=15,L555,0)</f>
        <v>0</v>
      </c>
      <c r="AL555" s="64">
        <f>IF(AN555=21,L555,0)</f>
        <v>1240</v>
      </c>
      <c r="AN555" s="35">
        <v>21</v>
      </c>
      <c r="AO555" s="35">
        <f>I555*0</f>
        <v>0</v>
      </c>
      <c r="AP555" s="35">
        <f>I555*(1-0)</f>
        <v>310</v>
      </c>
      <c r="AQ555" s="84" t="s">
        <v>144</v>
      </c>
      <c r="AV555" s="35">
        <f>AW555+AX555</f>
        <v>1240</v>
      </c>
      <c r="AW555" s="35">
        <f>H555*AO555</f>
        <v>0</v>
      </c>
      <c r="AX555" s="35">
        <f>H555*AP555</f>
        <v>1240</v>
      </c>
      <c r="AY555" s="86" t="s">
        <v>1046</v>
      </c>
      <c r="AZ555" s="86" t="s">
        <v>1068</v>
      </c>
      <c r="BA555" s="83" t="s">
        <v>1079</v>
      </c>
      <c r="BC555" s="35">
        <f>AW555+AX555</f>
        <v>1240</v>
      </c>
      <c r="BD555" s="35">
        <f>I555/(100-BE555)*100</f>
        <v>310</v>
      </c>
      <c r="BE555" s="35">
        <v>0</v>
      </c>
      <c r="BF555" s="35">
        <f>555</f>
        <v>555</v>
      </c>
      <c r="BH555" s="64">
        <f>H555*AO555</f>
        <v>0</v>
      </c>
      <c r="BI555" s="64">
        <f>H555*AP555</f>
        <v>1240</v>
      </c>
      <c r="BJ555" s="64">
        <f>H555*I555</f>
        <v>1240</v>
      </c>
      <c r="BK555" s="64" t="s">
        <v>1086</v>
      </c>
      <c r="BL555" s="35">
        <v>751</v>
      </c>
    </row>
    <row r="556" spans="1:64" x14ac:dyDescent="0.2">
      <c r="A556" s="19"/>
      <c r="C556" s="59" t="s">
        <v>521</v>
      </c>
      <c r="D556" s="180" t="s">
        <v>970</v>
      </c>
      <c r="E556" s="181"/>
      <c r="F556" s="181"/>
      <c r="G556" s="181"/>
      <c r="H556" s="181"/>
      <c r="I556" s="182"/>
      <c r="J556" s="181"/>
      <c r="K556" s="181"/>
      <c r="L556" s="181"/>
      <c r="M556" s="183"/>
      <c r="N556" s="19"/>
    </row>
    <row r="557" spans="1:64" x14ac:dyDescent="0.2">
      <c r="A557" s="49" t="s">
        <v>395</v>
      </c>
      <c r="B557" s="57" t="s">
        <v>65</v>
      </c>
      <c r="C557" s="57" t="s">
        <v>745</v>
      </c>
      <c r="D557" s="186" t="s">
        <v>951</v>
      </c>
      <c r="E557" s="187"/>
      <c r="F557" s="187"/>
      <c r="G557" s="57" t="s">
        <v>1004</v>
      </c>
      <c r="H557" s="65">
        <v>2</v>
      </c>
      <c r="I557" s="73">
        <v>1574</v>
      </c>
      <c r="J557" s="65">
        <f>H557*AO557</f>
        <v>3148</v>
      </c>
      <c r="K557" s="65">
        <f>H557*AP557</f>
        <v>0</v>
      </c>
      <c r="L557" s="65">
        <f>H557*I557</f>
        <v>3148</v>
      </c>
      <c r="M557" s="81"/>
      <c r="N557" s="19"/>
      <c r="Z557" s="35">
        <f>IF(AQ557="5",BJ557,0)</f>
        <v>0</v>
      </c>
      <c r="AB557" s="35">
        <f>IF(AQ557="1",BH557,0)</f>
        <v>0</v>
      </c>
      <c r="AC557" s="35">
        <f>IF(AQ557="1",BI557,0)</f>
        <v>0</v>
      </c>
      <c r="AD557" s="35">
        <f>IF(AQ557="7",BH557,0)</f>
        <v>3148</v>
      </c>
      <c r="AE557" s="35">
        <f>IF(AQ557="7",BI557,0)</f>
        <v>0</v>
      </c>
      <c r="AF557" s="35">
        <f>IF(AQ557="2",BH557,0)</f>
        <v>0</v>
      </c>
      <c r="AG557" s="35">
        <f>IF(AQ557="2",BI557,0)</f>
        <v>0</v>
      </c>
      <c r="AH557" s="35">
        <f>IF(AQ557="0",BJ557,0)</f>
        <v>0</v>
      </c>
      <c r="AI557" s="83" t="s">
        <v>65</v>
      </c>
      <c r="AJ557" s="65">
        <f>IF(AN557=0,L557,0)</f>
        <v>0</v>
      </c>
      <c r="AK557" s="65">
        <f>IF(AN557=15,L557,0)</f>
        <v>0</v>
      </c>
      <c r="AL557" s="65">
        <f>IF(AN557=21,L557,0)</f>
        <v>3148</v>
      </c>
      <c r="AN557" s="35">
        <v>21</v>
      </c>
      <c r="AO557" s="35">
        <f>I557*1</f>
        <v>1574</v>
      </c>
      <c r="AP557" s="35">
        <f>I557*(1-1)</f>
        <v>0</v>
      </c>
      <c r="AQ557" s="85" t="s">
        <v>144</v>
      </c>
      <c r="AV557" s="35">
        <f>AW557+AX557</f>
        <v>3148</v>
      </c>
      <c r="AW557" s="35">
        <f>H557*AO557</f>
        <v>3148</v>
      </c>
      <c r="AX557" s="35">
        <f>H557*AP557</f>
        <v>0</v>
      </c>
      <c r="AY557" s="86" t="s">
        <v>1046</v>
      </c>
      <c r="AZ557" s="86" t="s">
        <v>1068</v>
      </c>
      <c r="BA557" s="83" t="s">
        <v>1079</v>
      </c>
      <c r="BC557" s="35">
        <f>AW557+AX557</f>
        <v>3148</v>
      </c>
      <c r="BD557" s="35">
        <f>I557/(100-BE557)*100</f>
        <v>1574</v>
      </c>
      <c r="BE557" s="35">
        <v>0</v>
      </c>
      <c r="BF557" s="35">
        <f>557</f>
        <v>557</v>
      </c>
      <c r="BH557" s="65">
        <f>H557*AO557</f>
        <v>3148</v>
      </c>
      <c r="BI557" s="65">
        <f>H557*AP557</f>
        <v>0</v>
      </c>
      <c r="BJ557" s="65">
        <f>H557*I557</f>
        <v>3148</v>
      </c>
      <c r="BK557" s="65" t="s">
        <v>1001</v>
      </c>
      <c r="BL557" s="35">
        <v>751</v>
      </c>
    </row>
    <row r="558" spans="1:64" x14ac:dyDescent="0.2">
      <c r="A558" s="19"/>
      <c r="C558" s="59" t="s">
        <v>521</v>
      </c>
      <c r="D558" s="180" t="s">
        <v>951</v>
      </c>
      <c r="E558" s="181"/>
      <c r="F558" s="181"/>
      <c r="G558" s="181"/>
      <c r="H558" s="181"/>
      <c r="I558" s="182"/>
      <c r="J558" s="181"/>
      <c r="K558" s="181"/>
      <c r="L558" s="181"/>
      <c r="M558" s="183"/>
      <c r="N558" s="19"/>
    </row>
    <row r="559" spans="1:64" x14ac:dyDescent="0.2">
      <c r="A559" s="49" t="s">
        <v>396</v>
      </c>
      <c r="B559" s="57" t="s">
        <v>65</v>
      </c>
      <c r="C559" s="57" t="s">
        <v>746</v>
      </c>
      <c r="D559" s="186" t="s">
        <v>952</v>
      </c>
      <c r="E559" s="187"/>
      <c r="F559" s="187"/>
      <c r="G559" s="57" t="s">
        <v>1004</v>
      </c>
      <c r="H559" s="65">
        <v>2</v>
      </c>
      <c r="I559" s="73">
        <v>1648</v>
      </c>
      <c r="J559" s="65">
        <f>H559*AO559</f>
        <v>3296</v>
      </c>
      <c r="K559" s="65">
        <f>H559*AP559</f>
        <v>0</v>
      </c>
      <c r="L559" s="65">
        <f>H559*I559</f>
        <v>3296</v>
      </c>
      <c r="M559" s="81"/>
      <c r="N559" s="19"/>
      <c r="Z559" s="35">
        <f>IF(AQ559="5",BJ559,0)</f>
        <v>0</v>
      </c>
      <c r="AB559" s="35">
        <f>IF(AQ559="1",BH559,0)</f>
        <v>0</v>
      </c>
      <c r="AC559" s="35">
        <f>IF(AQ559="1",BI559,0)</f>
        <v>0</v>
      </c>
      <c r="AD559" s="35">
        <f>IF(AQ559="7",BH559,0)</f>
        <v>3296</v>
      </c>
      <c r="AE559" s="35">
        <f>IF(AQ559="7",BI559,0)</f>
        <v>0</v>
      </c>
      <c r="AF559" s="35">
        <f>IF(AQ559="2",BH559,0)</f>
        <v>0</v>
      </c>
      <c r="AG559" s="35">
        <f>IF(AQ559="2",BI559,0)</f>
        <v>0</v>
      </c>
      <c r="AH559" s="35">
        <f>IF(AQ559="0",BJ559,0)</f>
        <v>0</v>
      </c>
      <c r="AI559" s="83" t="s">
        <v>65</v>
      </c>
      <c r="AJ559" s="65">
        <f>IF(AN559=0,L559,0)</f>
        <v>0</v>
      </c>
      <c r="AK559" s="65">
        <f>IF(AN559=15,L559,0)</f>
        <v>0</v>
      </c>
      <c r="AL559" s="65">
        <f>IF(AN559=21,L559,0)</f>
        <v>3296</v>
      </c>
      <c r="AN559" s="35">
        <v>21</v>
      </c>
      <c r="AO559" s="35">
        <f>I559*1</f>
        <v>1648</v>
      </c>
      <c r="AP559" s="35">
        <f>I559*(1-1)</f>
        <v>0</v>
      </c>
      <c r="AQ559" s="85" t="s">
        <v>144</v>
      </c>
      <c r="AV559" s="35">
        <f>AW559+AX559</f>
        <v>3296</v>
      </c>
      <c r="AW559" s="35">
        <f>H559*AO559</f>
        <v>3296</v>
      </c>
      <c r="AX559" s="35">
        <f>H559*AP559</f>
        <v>0</v>
      </c>
      <c r="AY559" s="86" t="s">
        <v>1046</v>
      </c>
      <c r="AZ559" s="86" t="s">
        <v>1068</v>
      </c>
      <c r="BA559" s="83" t="s">
        <v>1079</v>
      </c>
      <c r="BC559" s="35">
        <f>AW559+AX559</f>
        <v>3296</v>
      </c>
      <c r="BD559" s="35">
        <f>I559/(100-BE559)*100</f>
        <v>1648</v>
      </c>
      <c r="BE559" s="35">
        <v>0</v>
      </c>
      <c r="BF559" s="35">
        <f>559</f>
        <v>559</v>
      </c>
      <c r="BH559" s="65">
        <f>H559*AO559</f>
        <v>3296</v>
      </c>
      <c r="BI559" s="65">
        <f>H559*AP559</f>
        <v>0</v>
      </c>
      <c r="BJ559" s="65">
        <f>H559*I559</f>
        <v>3296</v>
      </c>
      <c r="BK559" s="65" t="s">
        <v>1001</v>
      </c>
      <c r="BL559" s="35">
        <v>751</v>
      </c>
    </row>
    <row r="560" spans="1:64" x14ac:dyDescent="0.2">
      <c r="A560" s="19"/>
      <c r="C560" s="59" t="s">
        <v>521</v>
      </c>
      <c r="D560" s="180" t="s">
        <v>952</v>
      </c>
      <c r="E560" s="181"/>
      <c r="F560" s="181"/>
      <c r="G560" s="181"/>
      <c r="H560" s="181"/>
      <c r="I560" s="182"/>
      <c r="J560" s="181"/>
      <c r="K560" s="181"/>
      <c r="L560" s="181"/>
      <c r="M560" s="183"/>
      <c r="N560" s="19"/>
    </row>
    <row r="561" spans="1:64" x14ac:dyDescent="0.2">
      <c r="A561" s="49" t="s">
        <v>397</v>
      </c>
      <c r="B561" s="57" t="s">
        <v>65</v>
      </c>
      <c r="C561" s="57" t="s">
        <v>747</v>
      </c>
      <c r="D561" s="186" t="s">
        <v>953</v>
      </c>
      <c r="E561" s="187"/>
      <c r="F561" s="187"/>
      <c r="G561" s="57" t="s">
        <v>1007</v>
      </c>
      <c r="H561" s="65">
        <v>10</v>
      </c>
      <c r="I561" s="73">
        <v>285</v>
      </c>
      <c r="J561" s="65">
        <f>H561*AO561</f>
        <v>2850</v>
      </c>
      <c r="K561" s="65">
        <f>H561*AP561</f>
        <v>0</v>
      </c>
      <c r="L561" s="65">
        <f>H561*I561</f>
        <v>2850</v>
      </c>
      <c r="M561" s="81"/>
      <c r="N561" s="19"/>
      <c r="Z561" s="35">
        <f>IF(AQ561="5",BJ561,0)</f>
        <v>0</v>
      </c>
      <c r="AB561" s="35">
        <f>IF(AQ561="1",BH561,0)</f>
        <v>0</v>
      </c>
      <c r="AC561" s="35">
        <f>IF(AQ561="1",BI561,0)</f>
        <v>0</v>
      </c>
      <c r="AD561" s="35">
        <f>IF(AQ561="7",BH561,0)</f>
        <v>2850</v>
      </c>
      <c r="AE561" s="35">
        <f>IF(AQ561="7",BI561,0)</f>
        <v>0</v>
      </c>
      <c r="AF561" s="35">
        <f>IF(AQ561="2",BH561,0)</f>
        <v>0</v>
      </c>
      <c r="AG561" s="35">
        <f>IF(AQ561="2",BI561,0)</f>
        <v>0</v>
      </c>
      <c r="AH561" s="35">
        <f>IF(AQ561="0",BJ561,0)</f>
        <v>0</v>
      </c>
      <c r="AI561" s="83" t="s">
        <v>65</v>
      </c>
      <c r="AJ561" s="65">
        <f>IF(AN561=0,L561,0)</f>
        <v>0</v>
      </c>
      <c r="AK561" s="65">
        <f>IF(AN561=15,L561,0)</f>
        <v>0</v>
      </c>
      <c r="AL561" s="65">
        <f>IF(AN561=21,L561,0)</f>
        <v>2850</v>
      </c>
      <c r="AN561" s="35">
        <v>21</v>
      </c>
      <c r="AO561" s="35">
        <f>I561*1</f>
        <v>285</v>
      </c>
      <c r="AP561" s="35">
        <f>I561*(1-1)</f>
        <v>0</v>
      </c>
      <c r="AQ561" s="85" t="s">
        <v>144</v>
      </c>
      <c r="AV561" s="35">
        <f>AW561+AX561</f>
        <v>2850</v>
      </c>
      <c r="AW561" s="35">
        <f>H561*AO561</f>
        <v>2850</v>
      </c>
      <c r="AX561" s="35">
        <f>H561*AP561</f>
        <v>0</v>
      </c>
      <c r="AY561" s="86" t="s">
        <v>1046</v>
      </c>
      <c r="AZ561" s="86" t="s">
        <v>1068</v>
      </c>
      <c r="BA561" s="83" t="s">
        <v>1079</v>
      </c>
      <c r="BC561" s="35">
        <f>AW561+AX561</f>
        <v>2850</v>
      </c>
      <c r="BD561" s="35">
        <f>I561/(100-BE561)*100</f>
        <v>285</v>
      </c>
      <c r="BE561" s="35">
        <v>0</v>
      </c>
      <c r="BF561" s="35">
        <f>561</f>
        <v>561</v>
      </c>
      <c r="BH561" s="65">
        <f>H561*AO561</f>
        <v>2850</v>
      </c>
      <c r="BI561" s="65">
        <f>H561*AP561</f>
        <v>0</v>
      </c>
      <c r="BJ561" s="65">
        <f>H561*I561</f>
        <v>2850</v>
      </c>
      <c r="BK561" s="65" t="s">
        <v>1001</v>
      </c>
      <c r="BL561" s="35">
        <v>751</v>
      </c>
    </row>
    <row r="562" spans="1:64" x14ac:dyDescent="0.2">
      <c r="A562" s="19"/>
      <c r="C562" s="59" t="s">
        <v>521</v>
      </c>
      <c r="D562" s="180" t="s">
        <v>953</v>
      </c>
      <c r="E562" s="181"/>
      <c r="F562" s="181"/>
      <c r="G562" s="181"/>
      <c r="H562" s="181"/>
      <c r="I562" s="182"/>
      <c r="J562" s="181"/>
      <c r="K562" s="181"/>
      <c r="L562" s="181"/>
      <c r="M562" s="183"/>
      <c r="N562" s="19"/>
    </row>
    <row r="563" spans="1:64" x14ac:dyDescent="0.2">
      <c r="A563" s="47" t="s">
        <v>398</v>
      </c>
      <c r="B563" s="55" t="s">
        <v>65</v>
      </c>
      <c r="C563" s="55" t="s">
        <v>620</v>
      </c>
      <c r="D563" s="178" t="s">
        <v>954</v>
      </c>
      <c r="E563" s="179"/>
      <c r="F563" s="179"/>
      <c r="G563" s="55" t="s">
        <v>1003</v>
      </c>
      <c r="H563" s="64">
        <v>14</v>
      </c>
      <c r="I563" s="71">
        <v>294</v>
      </c>
      <c r="J563" s="64">
        <f>H563*AO563</f>
        <v>0</v>
      </c>
      <c r="K563" s="64">
        <f>H563*AP563</f>
        <v>4116</v>
      </c>
      <c r="L563" s="64">
        <f>H563*I563</f>
        <v>4116</v>
      </c>
      <c r="M563" s="79"/>
      <c r="N563" s="19"/>
      <c r="Z563" s="35">
        <f>IF(AQ563="5",BJ563,0)</f>
        <v>0</v>
      </c>
      <c r="AB563" s="35">
        <f>IF(AQ563="1",BH563,0)</f>
        <v>0</v>
      </c>
      <c r="AC563" s="35">
        <f>IF(AQ563="1",BI563,0)</f>
        <v>0</v>
      </c>
      <c r="AD563" s="35">
        <f>IF(AQ563="7",BH563,0)</f>
        <v>0</v>
      </c>
      <c r="AE563" s="35">
        <f>IF(AQ563="7",BI563,0)</f>
        <v>4116</v>
      </c>
      <c r="AF563" s="35">
        <f>IF(AQ563="2",BH563,0)</f>
        <v>0</v>
      </c>
      <c r="AG563" s="35">
        <f>IF(AQ563="2",BI563,0)</f>
        <v>0</v>
      </c>
      <c r="AH563" s="35">
        <f>IF(AQ563="0",BJ563,0)</f>
        <v>0</v>
      </c>
      <c r="AI563" s="83" t="s">
        <v>65</v>
      </c>
      <c r="AJ563" s="64">
        <f>IF(AN563=0,L563,0)</f>
        <v>0</v>
      </c>
      <c r="AK563" s="64">
        <f>IF(AN563=15,L563,0)</f>
        <v>0</v>
      </c>
      <c r="AL563" s="64">
        <f>IF(AN563=21,L563,0)</f>
        <v>4116</v>
      </c>
      <c r="AN563" s="35">
        <v>21</v>
      </c>
      <c r="AO563" s="35">
        <f>I563*0</f>
        <v>0</v>
      </c>
      <c r="AP563" s="35">
        <f>I563*(1-0)</f>
        <v>294</v>
      </c>
      <c r="AQ563" s="84" t="s">
        <v>144</v>
      </c>
      <c r="AV563" s="35">
        <f>AW563+AX563</f>
        <v>4116</v>
      </c>
      <c r="AW563" s="35">
        <f>H563*AO563</f>
        <v>0</v>
      </c>
      <c r="AX563" s="35">
        <f>H563*AP563</f>
        <v>4116</v>
      </c>
      <c r="AY563" s="86" t="s">
        <v>1046</v>
      </c>
      <c r="AZ563" s="86" t="s">
        <v>1068</v>
      </c>
      <c r="BA563" s="83" t="s">
        <v>1079</v>
      </c>
      <c r="BC563" s="35">
        <f>AW563+AX563</f>
        <v>4116</v>
      </c>
      <c r="BD563" s="35">
        <f>I563/(100-BE563)*100</f>
        <v>294</v>
      </c>
      <c r="BE563" s="35">
        <v>0</v>
      </c>
      <c r="BF563" s="35">
        <f>563</f>
        <v>563</v>
      </c>
      <c r="BH563" s="64">
        <f>H563*AO563</f>
        <v>0</v>
      </c>
      <c r="BI563" s="64">
        <f>H563*AP563</f>
        <v>4116</v>
      </c>
      <c r="BJ563" s="64">
        <f>H563*I563</f>
        <v>4116</v>
      </c>
      <c r="BK563" s="64" t="s">
        <v>1086</v>
      </c>
      <c r="BL563" s="35">
        <v>751</v>
      </c>
    </row>
    <row r="564" spans="1:64" x14ac:dyDescent="0.2">
      <c r="A564" s="19"/>
      <c r="C564" s="59" t="s">
        <v>521</v>
      </c>
      <c r="D564" s="180" t="s">
        <v>954</v>
      </c>
      <c r="E564" s="181"/>
      <c r="F564" s="181"/>
      <c r="G564" s="181"/>
      <c r="H564" s="181"/>
      <c r="I564" s="182"/>
      <c r="J564" s="181"/>
      <c r="K564" s="181"/>
      <c r="L564" s="181"/>
      <c r="M564" s="183"/>
      <c r="N564" s="19"/>
    </row>
    <row r="565" spans="1:64" x14ac:dyDescent="0.2">
      <c r="A565" s="49" t="s">
        <v>399</v>
      </c>
      <c r="B565" s="57" t="s">
        <v>65</v>
      </c>
      <c r="C565" s="57" t="s">
        <v>748</v>
      </c>
      <c r="D565" s="186" t="s">
        <v>955</v>
      </c>
      <c r="E565" s="187"/>
      <c r="F565" s="187"/>
      <c r="G565" s="57" t="s">
        <v>1004</v>
      </c>
      <c r="H565" s="65">
        <v>14</v>
      </c>
      <c r="I565" s="73">
        <v>851</v>
      </c>
      <c r="J565" s="65">
        <f>H565*AO565</f>
        <v>11914</v>
      </c>
      <c r="K565" s="65">
        <f>H565*AP565</f>
        <v>0</v>
      </c>
      <c r="L565" s="65">
        <f>H565*I565</f>
        <v>11914</v>
      </c>
      <c r="M565" s="81"/>
      <c r="N565" s="19"/>
      <c r="Z565" s="35">
        <f>IF(AQ565="5",BJ565,0)</f>
        <v>0</v>
      </c>
      <c r="AB565" s="35">
        <f>IF(AQ565="1",BH565,0)</f>
        <v>0</v>
      </c>
      <c r="AC565" s="35">
        <f>IF(AQ565="1",BI565,0)</f>
        <v>0</v>
      </c>
      <c r="AD565" s="35">
        <f>IF(AQ565="7",BH565,0)</f>
        <v>11914</v>
      </c>
      <c r="AE565" s="35">
        <f>IF(AQ565="7",BI565,0)</f>
        <v>0</v>
      </c>
      <c r="AF565" s="35">
        <f>IF(AQ565="2",BH565,0)</f>
        <v>0</v>
      </c>
      <c r="AG565" s="35">
        <f>IF(AQ565="2",BI565,0)</f>
        <v>0</v>
      </c>
      <c r="AH565" s="35">
        <f>IF(AQ565="0",BJ565,0)</f>
        <v>0</v>
      </c>
      <c r="AI565" s="83" t="s">
        <v>65</v>
      </c>
      <c r="AJ565" s="65">
        <f>IF(AN565=0,L565,0)</f>
        <v>0</v>
      </c>
      <c r="AK565" s="65">
        <f>IF(AN565=15,L565,0)</f>
        <v>0</v>
      </c>
      <c r="AL565" s="65">
        <f>IF(AN565=21,L565,0)</f>
        <v>11914</v>
      </c>
      <c r="AN565" s="35">
        <v>21</v>
      </c>
      <c r="AO565" s="35">
        <f>I565*1</f>
        <v>851</v>
      </c>
      <c r="AP565" s="35">
        <f>I565*(1-1)</f>
        <v>0</v>
      </c>
      <c r="AQ565" s="85" t="s">
        <v>144</v>
      </c>
      <c r="AV565" s="35">
        <f>AW565+AX565</f>
        <v>11914</v>
      </c>
      <c r="AW565" s="35">
        <f>H565*AO565</f>
        <v>11914</v>
      </c>
      <c r="AX565" s="35">
        <f>H565*AP565</f>
        <v>0</v>
      </c>
      <c r="AY565" s="86" t="s">
        <v>1046</v>
      </c>
      <c r="AZ565" s="86" t="s">
        <v>1068</v>
      </c>
      <c r="BA565" s="83" t="s">
        <v>1079</v>
      </c>
      <c r="BC565" s="35">
        <f>AW565+AX565</f>
        <v>11914</v>
      </c>
      <c r="BD565" s="35">
        <f>I565/(100-BE565)*100</f>
        <v>851</v>
      </c>
      <c r="BE565" s="35">
        <v>0</v>
      </c>
      <c r="BF565" s="35">
        <f>565</f>
        <v>565</v>
      </c>
      <c r="BH565" s="65">
        <f>H565*AO565</f>
        <v>11914</v>
      </c>
      <c r="BI565" s="65">
        <f>H565*AP565</f>
        <v>0</v>
      </c>
      <c r="BJ565" s="65">
        <f>H565*I565</f>
        <v>11914</v>
      </c>
      <c r="BK565" s="65" t="s">
        <v>1001</v>
      </c>
      <c r="BL565" s="35">
        <v>751</v>
      </c>
    </row>
    <row r="566" spans="1:64" x14ac:dyDescent="0.2">
      <c r="A566" s="19"/>
      <c r="C566" s="59" t="s">
        <v>521</v>
      </c>
      <c r="D566" s="180" t="s">
        <v>955</v>
      </c>
      <c r="E566" s="181"/>
      <c r="F566" s="181"/>
      <c r="G566" s="181"/>
      <c r="H566" s="181"/>
      <c r="I566" s="182"/>
      <c r="J566" s="181"/>
      <c r="K566" s="181"/>
      <c r="L566" s="181"/>
      <c r="M566" s="183"/>
      <c r="N566" s="19"/>
    </row>
    <row r="567" spans="1:64" x14ac:dyDescent="0.2">
      <c r="A567" s="47" t="s">
        <v>400</v>
      </c>
      <c r="B567" s="55" t="s">
        <v>65</v>
      </c>
      <c r="C567" s="55" t="s">
        <v>622</v>
      </c>
      <c r="D567" s="178" t="s">
        <v>956</v>
      </c>
      <c r="E567" s="179"/>
      <c r="F567" s="179"/>
      <c r="G567" s="55" t="s">
        <v>1003</v>
      </c>
      <c r="H567" s="64">
        <v>14</v>
      </c>
      <c r="I567" s="71">
        <v>135</v>
      </c>
      <c r="J567" s="64">
        <f>H567*AO567</f>
        <v>0</v>
      </c>
      <c r="K567" s="64">
        <f>H567*AP567</f>
        <v>1890</v>
      </c>
      <c r="L567" s="64">
        <f>H567*I567</f>
        <v>1890</v>
      </c>
      <c r="M567" s="79" t="s">
        <v>1020</v>
      </c>
      <c r="N567" s="19"/>
      <c r="Z567" s="35">
        <f>IF(AQ567="5",BJ567,0)</f>
        <v>0</v>
      </c>
      <c r="AB567" s="35">
        <f>IF(AQ567="1",BH567,0)</f>
        <v>0</v>
      </c>
      <c r="AC567" s="35">
        <f>IF(AQ567="1",BI567,0)</f>
        <v>0</v>
      </c>
      <c r="AD567" s="35">
        <f>IF(AQ567="7",BH567,0)</f>
        <v>0</v>
      </c>
      <c r="AE567" s="35">
        <f>IF(AQ567="7",BI567,0)</f>
        <v>1890</v>
      </c>
      <c r="AF567" s="35">
        <f>IF(AQ567="2",BH567,0)</f>
        <v>0</v>
      </c>
      <c r="AG567" s="35">
        <f>IF(AQ567="2",BI567,0)</f>
        <v>0</v>
      </c>
      <c r="AH567" s="35">
        <f>IF(AQ567="0",BJ567,0)</f>
        <v>0</v>
      </c>
      <c r="AI567" s="83" t="s">
        <v>65</v>
      </c>
      <c r="AJ567" s="64">
        <f>IF(AN567=0,L567,0)</f>
        <v>0</v>
      </c>
      <c r="AK567" s="64">
        <f>IF(AN567=15,L567,0)</f>
        <v>0</v>
      </c>
      <c r="AL567" s="64">
        <f>IF(AN567=21,L567,0)</f>
        <v>1890</v>
      </c>
      <c r="AN567" s="35">
        <v>21</v>
      </c>
      <c r="AO567" s="35">
        <f>I567*0</f>
        <v>0</v>
      </c>
      <c r="AP567" s="35">
        <f>I567*(1-0)</f>
        <v>135</v>
      </c>
      <c r="AQ567" s="84" t="s">
        <v>144</v>
      </c>
      <c r="AV567" s="35">
        <f>AW567+AX567</f>
        <v>1890</v>
      </c>
      <c r="AW567" s="35">
        <f>H567*AO567</f>
        <v>0</v>
      </c>
      <c r="AX567" s="35">
        <f>H567*AP567</f>
        <v>1890</v>
      </c>
      <c r="AY567" s="86" t="s">
        <v>1046</v>
      </c>
      <c r="AZ567" s="86" t="s">
        <v>1068</v>
      </c>
      <c r="BA567" s="83" t="s">
        <v>1079</v>
      </c>
      <c r="BC567" s="35">
        <f>AW567+AX567</f>
        <v>1890</v>
      </c>
      <c r="BD567" s="35">
        <f>I567/(100-BE567)*100</f>
        <v>135</v>
      </c>
      <c r="BE567" s="35">
        <v>0</v>
      </c>
      <c r="BF567" s="35">
        <f>567</f>
        <v>567</v>
      </c>
      <c r="BH567" s="64">
        <f>H567*AO567</f>
        <v>0</v>
      </c>
      <c r="BI567" s="64">
        <f>H567*AP567</f>
        <v>1890</v>
      </c>
      <c r="BJ567" s="64">
        <f>H567*I567</f>
        <v>1890</v>
      </c>
      <c r="BK567" s="64" t="s">
        <v>1086</v>
      </c>
      <c r="BL567" s="35">
        <v>751</v>
      </c>
    </row>
    <row r="568" spans="1:64" x14ac:dyDescent="0.2">
      <c r="A568" s="19"/>
      <c r="C568" s="59" t="s">
        <v>521</v>
      </c>
      <c r="D568" s="180" t="s">
        <v>956</v>
      </c>
      <c r="E568" s="181"/>
      <c r="F568" s="181"/>
      <c r="G568" s="181"/>
      <c r="H568" s="181"/>
      <c r="I568" s="182"/>
      <c r="J568" s="181"/>
      <c r="K568" s="181"/>
      <c r="L568" s="181"/>
      <c r="M568" s="183"/>
      <c r="N568" s="19"/>
    </row>
    <row r="569" spans="1:64" x14ac:dyDescent="0.2">
      <c r="A569" s="49" t="s">
        <v>401</v>
      </c>
      <c r="B569" s="57" t="s">
        <v>65</v>
      </c>
      <c r="C569" s="57" t="s">
        <v>749</v>
      </c>
      <c r="D569" s="186" t="s">
        <v>957</v>
      </c>
      <c r="E569" s="187"/>
      <c r="F569" s="187"/>
      <c r="G569" s="57" t="s">
        <v>1004</v>
      </c>
      <c r="H569" s="65">
        <v>14</v>
      </c>
      <c r="I569" s="73">
        <v>287</v>
      </c>
      <c r="J569" s="65">
        <f>H569*AO569</f>
        <v>4018</v>
      </c>
      <c r="K569" s="65">
        <f>H569*AP569</f>
        <v>0</v>
      </c>
      <c r="L569" s="65">
        <f>H569*I569</f>
        <v>4018</v>
      </c>
      <c r="M569" s="81"/>
      <c r="N569" s="19"/>
      <c r="Z569" s="35">
        <f>IF(AQ569="5",BJ569,0)</f>
        <v>0</v>
      </c>
      <c r="AB569" s="35">
        <f>IF(AQ569="1",BH569,0)</f>
        <v>0</v>
      </c>
      <c r="AC569" s="35">
        <f>IF(AQ569="1",BI569,0)</f>
        <v>0</v>
      </c>
      <c r="AD569" s="35">
        <f>IF(AQ569="7",BH569,0)</f>
        <v>4018</v>
      </c>
      <c r="AE569" s="35">
        <f>IF(AQ569="7",BI569,0)</f>
        <v>0</v>
      </c>
      <c r="AF569" s="35">
        <f>IF(AQ569="2",BH569,0)</f>
        <v>0</v>
      </c>
      <c r="AG569" s="35">
        <f>IF(AQ569="2",BI569,0)</f>
        <v>0</v>
      </c>
      <c r="AH569" s="35">
        <f>IF(AQ569="0",BJ569,0)</f>
        <v>0</v>
      </c>
      <c r="AI569" s="83" t="s">
        <v>65</v>
      </c>
      <c r="AJ569" s="65">
        <f>IF(AN569=0,L569,0)</f>
        <v>0</v>
      </c>
      <c r="AK569" s="65">
        <f>IF(AN569=15,L569,0)</f>
        <v>0</v>
      </c>
      <c r="AL569" s="65">
        <f>IF(AN569=21,L569,0)</f>
        <v>4018</v>
      </c>
      <c r="AN569" s="35">
        <v>21</v>
      </c>
      <c r="AO569" s="35">
        <f>I569*1</f>
        <v>287</v>
      </c>
      <c r="AP569" s="35">
        <f>I569*(1-1)</f>
        <v>0</v>
      </c>
      <c r="AQ569" s="85" t="s">
        <v>144</v>
      </c>
      <c r="AV569" s="35">
        <f>AW569+AX569</f>
        <v>4018</v>
      </c>
      <c r="AW569" s="35">
        <f>H569*AO569</f>
        <v>4018</v>
      </c>
      <c r="AX569" s="35">
        <f>H569*AP569</f>
        <v>0</v>
      </c>
      <c r="AY569" s="86" t="s">
        <v>1046</v>
      </c>
      <c r="AZ569" s="86" t="s">
        <v>1068</v>
      </c>
      <c r="BA569" s="83" t="s">
        <v>1079</v>
      </c>
      <c r="BC569" s="35">
        <f>AW569+AX569</f>
        <v>4018</v>
      </c>
      <c r="BD569" s="35">
        <f>I569/(100-BE569)*100</f>
        <v>287</v>
      </c>
      <c r="BE569" s="35">
        <v>0</v>
      </c>
      <c r="BF569" s="35">
        <f>569</f>
        <v>569</v>
      </c>
      <c r="BH569" s="65">
        <f>H569*AO569</f>
        <v>4018</v>
      </c>
      <c r="BI569" s="65">
        <f>H569*AP569</f>
        <v>0</v>
      </c>
      <c r="BJ569" s="65">
        <f>H569*I569</f>
        <v>4018</v>
      </c>
      <c r="BK569" s="65" t="s">
        <v>1001</v>
      </c>
      <c r="BL569" s="35">
        <v>751</v>
      </c>
    </row>
    <row r="570" spans="1:64" x14ac:dyDescent="0.2">
      <c r="A570" s="19"/>
      <c r="C570" s="59" t="s">
        <v>521</v>
      </c>
      <c r="D570" s="180" t="s">
        <v>957</v>
      </c>
      <c r="E570" s="181"/>
      <c r="F570" s="181"/>
      <c r="G570" s="181"/>
      <c r="H570" s="181"/>
      <c r="I570" s="182"/>
      <c r="J570" s="181"/>
      <c r="K570" s="181"/>
      <c r="L570" s="181"/>
      <c r="M570" s="183"/>
      <c r="N570" s="19"/>
    </row>
    <row r="571" spans="1:64" x14ac:dyDescent="0.2">
      <c r="A571" s="47" t="s">
        <v>402</v>
      </c>
      <c r="B571" s="55" t="s">
        <v>65</v>
      </c>
      <c r="C571" s="55" t="s">
        <v>624</v>
      </c>
      <c r="D571" s="178" t="s">
        <v>958</v>
      </c>
      <c r="E571" s="179"/>
      <c r="F571" s="179"/>
      <c r="G571" s="55" t="s">
        <v>1000</v>
      </c>
      <c r="H571" s="64">
        <v>3584.0039999999999</v>
      </c>
      <c r="I571" s="71">
        <v>0.5</v>
      </c>
      <c r="J571" s="64">
        <f>H571*AO571</f>
        <v>0</v>
      </c>
      <c r="K571" s="64">
        <f>H571*AP571</f>
        <v>1792.002</v>
      </c>
      <c r="L571" s="64">
        <f>H571*I571</f>
        <v>1792.002</v>
      </c>
      <c r="M571" s="79" t="s">
        <v>1021</v>
      </c>
      <c r="N571" s="19"/>
      <c r="Z571" s="35">
        <f>IF(AQ571="5",BJ571,0)</f>
        <v>0</v>
      </c>
      <c r="AB571" s="35">
        <f>IF(AQ571="1",BH571,0)</f>
        <v>0</v>
      </c>
      <c r="AC571" s="35">
        <f>IF(AQ571="1",BI571,0)</f>
        <v>0</v>
      </c>
      <c r="AD571" s="35">
        <f>IF(AQ571="7",BH571,0)</f>
        <v>0</v>
      </c>
      <c r="AE571" s="35">
        <f>IF(AQ571="7",BI571,0)</f>
        <v>1792.002</v>
      </c>
      <c r="AF571" s="35">
        <f>IF(AQ571="2",BH571,0)</f>
        <v>0</v>
      </c>
      <c r="AG571" s="35">
        <f>IF(AQ571="2",BI571,0)</f>
        <v>0</v>
      </c>
      <c r="AH571" s="35">
        <f>IF(AQ571="0",BJ571,0)</f>
        <v>0</v>
      </c>
      <c r="AI571" s="83" t="s">
        <v>65</v>
      </c>
      <c r="AJ571" s="64">
        <f>IF(AN571=0,L571,0)</f>
        <v>0</v>
      </c>
      <c r="AK571" s="64">
        <f>IF(AN571=15,L571,0)</f>
        <v>0</v>
      </c>
      <c r="AL571" s="64">
        <f>IF(AN571=21,L571,0)</f>
        <v>1792.002</v>
      </c>
      <c r="AN571" s="35">
        <v>21</v>
      </c>
      <c r="AO571" s="35">
        <f>I571*0</f>
        <v>0</v>
      </c>
      <c r="AP571" s="35">
        <f>I571*(1-0)</f>
        <v>0.5</v>
      </c>
      <c r="AQ571" s="84" t="s">
        <v>144</v>
      </c>
      <c r="AV571" s="35">
        <f>AW571+AX571</f>
        <v>1792.002</v>
      </c>
      <c r="AW571" s="35">
        <f>H571*AO571</f>
        <v>0</v>
      </c>
      <c r="AX571" s="35">
        <f>H571*AP571</f>
        <v>1792.002</v>
      </c>
      <c r="AY571" s="86" t="s">
        <v>1046</v>
      </c>
      <c r="AZ571" s="86" t="s">
        <v>1068</v>
      </c>
      <c r="BA571" s="83" t="s">
        <v>1079</v>
      </c>
      <c r="BC571" s="35">
        <f>AW571+AX571</f>
        <v>1792.002</v>
      </c>
      <c r="BD571" s="35">
        <f>I571/(100-BE571)*100</f>
        <v>0.5</v>
      </c>
      <c r="BE571" s="35">
        <v>0</v>
      </c>
      <c r="BF571" s="35">
        <f>571</f>
        <v>571</v>
      </c>
      <c r="BH571" s="64">
        <f>H571*AO571</f>
        <v>0</v>
      </c>
      <c r="BI571" s="64">
        <f>H571*AP571</f>
        <v>1792.002</v>
      </c>
      <c r="BJ571" s="64">
        <f>H571*I571</f>
        <v>1792.002</v>
      </c>
      <c r="BK571" s="64" t="s">
        <v>1086</v>
      </c>
      <c r="BL571" s="35">
        <v>751</v>
      </c>
    </row>
    <row r="572" spans="1:64" x14ac:dyDescent="0.2">
      <c r="A572" s="19"/>
      <c r="C572" s="59" t="s">
        <v>521</v>
      </c>
      <c r="D572" s="180" t="s">
        <v>959</v>
      </c>
      <c r="E572" s="181"/>
      <c r="F572" s="181"/>
      <c r="G572" s="181"/>
      <c r="H572" s="181"/>
      <c r="I572" s="182"/>
      <c r="J572" s="181"/>
      <c r="K572" s="181"/>
      <c r="L572" s="181"/>
      <c r="M572" s="183"/>
      <c r="N572" s="19"/>
    </row>
    <row r="573" spans="1:64" x14ac:dyDescent="0.2">
      <c r="A573" s="46"/>
      <c r="B573" s="54" t="s">
        <v>65</v>
      </c>
      <c r="C573" s="54" t="s">
        <v>118</v>
      </c>
      <c r="D573" s="176" t="s">
        <v>43</v>
      </c>
      <c r="E573" s="177"/>
      <c r="F573" s="177"/>
      <c r="G573" s="61" t="s">
        <v>60</v>
      </c>
      <c r="H573" s="61" t="s">
        <v>60</v>
      </c>
      <c r="I573" s="70" t="s">
        <v>60</v>
      </c>
      <c r="J573" s="89">
        <f>SUM(J574:J586)</f>
        <v>0</v>
      </c>
      <c r="K573" s="89">
        <f>SUM(K574:K586)</f>
        <v>26250</v>
      </c>
      <c r="L573" s="89">
        <f>SUM(L574:L586)</f>
        <v>26250</v>
      </c>
      <c r="M573" s="78"/>
      <c r="N573" s="19"/>
      <c r="AI573" s="83" t="s">
        <v>65</v>
      </c>
      <c r="AS573" s="89">
        <f>SUM(AJ574:AJ586)</f>
        <v>0</v>
      </c>
      <c r="AT573" s="89">
        <f>SUM(AK574:AK586)</f>
        <v>0</v>
      </c>
      <c r="AU573" s="89">
        <f>SUM(AL574:AL586)</f>
        <v>26250</v>
      </c>
    </row>
    <row r="574" spans="1:64" x14ac:dyDescent="0.2">
      <c r="A574" s="47" t="s">
        <v>403</v>
      </c>
      <c r="B574" s="55" t="s">
        <v>65</v>
      </c>
      <c r="C574" s="55" t="s">
        <v>750</v>
      </c>
      <c r="D574" s="178" t="s">
        <v>960</v>
      </c>
      <c r="E574" s="179"/>
      <c r="F574" s="179"/>
      <c r="G574" s="55" t="s">
        <v>1002</v>
      </c>
      <c r="H574" s="64">
        <v>1</v>
      </c>
      <c r="I574" s="71">
        <v>2000</v>
      </c>
      <c r="J574" s="64">
        <f>H574*AO574</f>
        <v>0</v>
      </c>
      <c r="K574" s="64">
        <f>H574*AP574</f>
        <v>2000</v>
      </c>
      <c r="L574" s="64">
        <f>H574*I574</f>
        <v>2000</v>
      </c>
      <c r="M574" s="79"/>
      <c r="N574" s="19"/>
      <c r="Z574" s="35">
        <f>IF(AQ574="5",BJ574,0)</f>
        <v>0</v>
      </c>
      <c r="AB574" s="35">
        <f>IF(AQ574="1",BH574,0)</f>
        <v>0</v>
      </c>
      <c r="AC574" s="35">
        <f>IF(AQ574="1",BI574,0)</f>
        <v>2000</v>
      </c>
      <c r="AD574" s="35">
        <f>IF(AQ574="7",BH574,0)</f>
        <v>0</v>
      </c>
      <c r="AE574" s="35">
        <f>IF(AQ574="7",BI574,0)</f>
        <v>0</v>
      </c>
      <c r="AF574" s="35">
        <f>IF(AQ574="2",BH574,0)</f>
        <v>0</v>
      </c>
      <c r="AG574" s="35">
        <f>IF(AQ574="2",BI574,0)</f>
        <v>0</v>
      </c>
      <c r="AH574" s="35">
        <f>IF(AQ574="0",BJ574,0)</f>
        <v>0</v>
      </c>
      <c r="AI574" s="83" t="s">
        <v>65</v>
      </c>
      <c r="AJ574" s="64">
        <f>IF(AN574=0,L574,0)</f>
        <v>0</v>
      </c>
      <c r="AK574" s="64">
        <f>IF(AN574=15,L574,0)</f>
        <v>0</v>
      </c>
      <c r="AL574" s="64">
        <f>IF(AN574=21,L574,0)</f>
        <v>2000</v>
      </c>
      <c r="AN574" s="35">
        <v>21</v>
      </c>
      <c r="AO574" s="35">
        <f>I574*0</f>
        <v>0</v>
      </c>
      <c r="AP574" s="35">
        <f>I574*(1-0)</f>
        <v>2000</v>
      </c>
      <c r="AQ574" s="84" t="s">
        <v>141</v>
      </c>
      <c r="AV574" s="35">
        <f>AW574+AX574</f>
        <v>2000</v>
      </c>
      <c r="AW574" s="35">
        <f>H574*AO574</f>
        <v>0</v>
      </c>
      <c r="AX574" s="35">
        <f>H574*AP574</f>
        <v>2000</v>
      </c>
      <c r="AY574" s="86" t="s">
        <v>1047</v>
      </c>
      <c r="AZ574" s="86" t="s">
        <v>1069</v>
      </c>
      <c r="BA574" s="83" t="s">
        <v>1079</v>
      </c>
      <c r="BC574" s="35">
        <f>AW574+AX574</f>
        <v>2000</v>
      </c>
      <c r="BD574" s="35">
        <f>I574/(100-BE574)*100</f>
        <v>2000</v>
      </c>
      <c r="BE574" s="35">
        <v>0</v>
      </c>
      <c r="BF574" s="35">
        <f>574</f>
        <v>574</v>
      </c>
      <c r="BH574" s="64">
        <f>H574*AO574</f>
        <v>0</v>
      </c>
      <c r="BI574" s="64">
        <f>H574*AP574</f>
        <v>2000</v>
      </c>
      <c r="BJ574" s="64">
        <f>H574*I574</f>
        <v>2000</v>
      </c>
      <c r="BK574" s="64" t="s">
        <v>1086</v>
      </c>
      <c r="BL574" s="35" t="s">
        <v>118</v>
      </c>
    </row>
    <row r="575" spans="1:64" x14ac:dyDescent="0.2">
      <c r="A575" s="19"/>
      <c r="C575" s="59" t="s">
        <v>521</v>
      </c>
      <c r="D575" s="180" t="s">
        <v>961</v>
      </c>
      <c r="E575" s="181"/>
      <c r="F575" s="181"/>
      <c r="G575" s="181"/>
      <c r="H575" s="181"/>
      <c r="I575" s="182"/>
      <c r="J575" s="181"/>
      <c r="K575" s="181"/>
      <c r="L575" s="181"/>
      <c r="M575" s="183"/>
      <c r="N575" s="19"/>
    </row>
    <row r="576" spans="1:64" x14ac:dyDescent="0.2">
      <c r="A576" s="47" t="s">
        <v>404</v>
      </c>
      <c r="B576" s="55" t="s">
        <v>65</v>
      </c>
      <c r="C576" s="55" t="s">
        <v>751</v>
      </c>
      <c r="D576" s="178" t="s">
        <v>962</v>
      </c>
      <c r="E576" s="179"/>
      <c r="F576" s="179"/>
      <c r="G576" s="55" t="s">
        <v>1006</v>
      </c>
      <c r="H576" s="64">
        <v>1</v>
      </c>
      <c r="I576" s="71">
        <v>2800</v>
      </c>
      <c r="J576" s="64">
        <f>H576*AO576</f>
        <v>0</v>
      </c>
      <c r="K576" s="64">
        <f>H576*AP576</f>
        <v>2800</v>
      </c>
      <c r="L576" s="64">
        <f>H576*I576</f>
        <v>2800</v>
      </c>
      <c r="M576" s="79"/>
      <c r="N576" s="19"/>
      <c r="Z576" s="35">
        <f>IF(AQ576="5",BJ576,0)</f>
        <v>0</v>
      </c>
      <c r="AB576" s="35">
        <f>IF(AQ576="1",BH576,0)</f>
        <v>0</v>
      </c>
      <c r="AC576" s="35">
        <f>IF(AQ576="1",BI576,0)</f>
        <v>2800</v>
      </c>
      <c r="AD576" s="35">
        <f>IF(AQ576="7",BH576,0)</f>
        <v>0</v>
      </c>
      <c r="AE576" s="35">
        <f>IF(AQ576="7",BI576,0)</f>
        <v>0</v>
      </c>
      <c r="AF576" s="35">
        <f>IF(AQ576="2",BH576,0)</f>
        <v>0</v>
      </c>
      <c r="AG576" s="35">
        <f>IF(AQ576="2",BI576,0)</f>
        <v>0</v>
      </c>
      <c r="AH576" s="35">
        <f>IF(AQ576="0",BJ576,0)</f>
        <v>0</v>
      </c>
      <c r="AI576" s="83" t="s">
        <v>65</v>
      </c>
      <c r="AJ576" s="64">
        <f>IF(AN576=0,L576,0)</f>
        <v>0</v>
      </c>
      <c r="AK576" s="64">
        <f>IF(AN576=15,L576,0)</f>
        <v>0</v>
      </c>
      <c r="AL576" s="64">
        <f>IF(AN576=21,L576,0)</f>
        <v>2800</v>
      </c>
      <c r="AN576" s="35">
        <v>21</v>
      </c>
      <c r="AO576" s="35">
        <f>I576*0</f>
        <v>0</v>
      </c>
      <c r="AP576" s="35">
        <f>I576*(1-0)</f>
        <v>2800</v>
      </c>
      <c r="AQ576" s="84" t="s">
        <v>141</v>
      </c>
      <c r="AV576" s="35">
        <f>AW576+AX576</f>
        <v>2800</v>
      </c>
      <c r="AW576" s="35">
        <f>H576*AO576</f>
        <v>0</v>
      </c>
      <c r="AX576" s="35">
        <f>H576*AP576</f>
        <v>2800</v>
      </c>
      <c r="AY576" s="86" t="s">
        <v>1047</v>
      </c>
      <c r="AZ576" s="86" t="s">
        <v>1069</v>
      </c>
      <c r="BA576" s="83" t="s">
        <v>1079</v>
      </c>
      <c r="BC576" s="35">
        <f>AW576+AX576</f>
        <v>2800</v>
      </c>
      <c r="BD576" s="35">
        <f>I576/(100-BE576)*100</f>
        <v>2800</v>
      </c>
      <c r="BE576" s="35">
        <v>0</v>
      </c>
      <c r="BF576" s="35">
        <f>576</f>
        <v>576</v>
      </c>
      <c r="BH576" s="64">
        <f>H576*AO576</f>
        <v>0</v>
      </c>
      <c r="BI576" s="64">
        <f>H576*AP576</f>
        <v>2800</v>
      </c>
      <c r="BJ576" s="64">
        <f>H576*I576</f>
        <v>2800</v>
      </c>
      <c r="BK576" s="64" t="s">
        <v>1086</v>
      </c>
      <c r="BL576" s="35" t="s">
        <v>118</v>
      </c>
    </row>
    <row r="577" spans="1:64" x14ac:dyDescent="0.2">
      <c r="A577" s="19"/>
      <c r="C577" s="59" t="s">
        <v>521</v>
      </c>
      <c r="D577" s="180" t="s">
        <v>962</v>
      </c>
      <c r="E577" s="181"/>
      <c r="F577" s="181"/>
      <c r="G577" s="181"/>
      <c r="H577" s="181"/>
      <c r="I577" s="182"/>
      <c r="J577" s="181"/>
      <c r="K577" s="181"/>
      <c r="L577" s="181"/>
      <c r="M577" s="183"/>
      <c r="N577" s="19"/>
    </row>
    <row r="578" spans="1:64" x14ac:dyDescent="0.2">
      <c r="A578" s="47" t="s">
        <v>405</v>
      </c>
      <c r="B578" s="55" t="s">
        <v>65</v>
      </c>
      <c r="C578" s="55" t="s">
        <v>752</v>
      </c>
      <c r="D578" s="178" t="s">
        <v>962</v>
      </c>
      <c r="E578" s="179"/>
      <c r="F578" s="179"/>
      <c r="G578" s="55" t="s">
        <v>1006</v>
      </c>
      <c r="H578" s="64">
        <v>1</v>
      </c>
      <c r="I578" s="71">
        <v>2800</v>
      </c>
      <c r="J578" s="64">
        <f>H578*AO578</f>
        <v>0</v>
      </c>
      <c r="K578" s="64">
        <f>H578*AP578</f>
        <v>2800</v>
      </c>
      <c r="L578" s="64">
        <f>H578*I578</f>
        <v>2800</v>
      </c>
      <c r="M578" s="79"/>
      <c r="N578" s="19"/>
      <c r="Z578" s="35">
        <f>IF(AQ578="5",BJ578,0)</f>
        <v>0</v>
      </c>
      <c r="AB578" s="35">
        <f>IF(AQ578="1",BH578,0)</f>
        <v>0</v>
      </c>
      <c r="AC578" s="35">
        <f>IF(AQ578="1",BI578,0)</f>
        <v>2800</v>
      </c>
      <c r="AD578" s="35">
        <f>IF(AQ578="7",BH578,0)</f>
        <v>0</v>
      </c>
      <c r="AE578" s="35">
        <f>IF(AQ578="7",BI578,0)</f>
        <v>0</v>
      </c>
      <c r="AF578" s="35">
        <f>IF(AQ578="2",BH578,0)</f>
        <v>0</v>
      </c>
      <c r="AG578" s="35">
        <f>IF(AQ578="2",BI578,0)</f>
        <v>0</v>
      </c>
      <c r="AH578" s="35">
        <f>IF(AQ578="0",BJ578,0)</f>
        <v>0</v>
      </c>
      <c r="AI578" s="83" t="s">
        <v>65</v>
      </c>
      <c r="AJ578" s="64">
        <f>IF(AN578=0,L578,0)</f>
        <v>0</v>
      </c>
      <c r="AK578" s="64">
        <f>IF(AN578=15,L578,0)</f>
        <v>0</v>
      </c>
      <c r="AL578" s="64">
        <f>IF(AN578=21,L578,0)</f>
        <v>2800</v>
      </c>
      <c r="AN578" s="35">
        <v>21</v>
      </c>
      <c r="AO578" s="35">
        <f>I578*0</f>
        <v>0</v>
      </c>
      <c r="AP578" s="35">
        <f>I578*(1-0)</f>
        <v>2800</v>
      </c>
      <c r="AQ578" s="84" t="s">
        <v>141</v>
      </c>
      <c r="AV578" s="35">
        <f>AW578+AX578</f>
        <v>2800</v>
      </c>
      <c r="AW578" s="35">
        <f>H578*AO578</f>
        <v>0</v>
      </c>
      <c r="AX578" s="35">
        <f>H578*AP578</f>
        <v>2800</v>
      </c>
      <c r="AY578" s="86" t="s">
        <v>1047</v>
      </c>
      <c r="AZ578" s="86" t="s">
        <v>1069</v>
      </c>
      <c r="BA578" s="83" t="s">
        <v>1079</v>
      </c>
      <c r="BC578" s="35">
        <f>AW578+AX578</f>
        <v>2800</v>
      </c>
      <c r="BD578" s="35">
        <f>I578/(100-BE578)*100</f>
        <v>2800</v>
      </c>
      <c r="BE578" s="35">
        <v>0</v>
      </c>
      <c r="BF578" s="35">
        <f>578</f>
        <v>578</v>
      </c>
      <c r="BH578" s="64">
        <f>H578*AO578</f>
        <v>0</v>
      </c>
      <c r="BI578" s="64">
        <f>H578*AP578</f>
        <v>2800</v>
      </c>
      <c r="BJ578" s="64">
        <f>H578*I578</f>
        <v>2800</v>
      </c>
      <c r="BK578" s="64" t="s">
        <v>1086</v>
      </c>
      <c r="BL578" s="35" t="s">
        <v>118</v>
      </c>
    </row>
    <row r="579" spans="1:64" x14ac:dyDescent="0.2">
      <c r="A579" s="19"/>
      <c r="C579" s="59" t="s">
        <v>521</v>
      </c>
      <c r="D579" s="180" t="s">
        <v>962</v>
      </c>
      <c r="E579" s="181"/>
      <c r="F579" s="181"/>
      <c r="G579" s="181"/>
      <c r="H579" s="181"/>
      <c r="I579" s="182"/>
      <c r="J579" s="181"/>
      <c r="K579" s="181"/>
      <c r="L579" s="181"/>
      <c r="M579" s="183"/>
      <c r="N579" s="19"/>
    </row>
    <row r="580" spans="1:64" x14ac:dyDescent="0.2">
      <c r="A580" s="47" t="s">
        <v>406</v>
      </c>
      <c r="B580" s="55" t="s">
        <v>65</v>
      </c>
      <c r="C580" s="55" t="s">
        <v>753</v>
      </c>
      <c r="D580" s="178" t="s">
        <v>963</v>
      </c>
      <c r="E580" s="179"/>
      <c r="F580" s="179"/>
      <c r="G580" s="55" t="s">
        <v>1006</v>
      </c>
      <c r="H580" s="64">
        <v>1</v>
      </c>
      <c r="I580" s="71">
        <v>2800</v>
      </c>
      <c r="J580" s="64">
        <f>H580*AO580</f>
        <v>0</v>
      </c>
      <c r="K580" s="64">
        <f>H580*AP580</f>
        <v>2800</v>
      </c>
      <c r="L580" s="64">
        <f>H580*I580</f>
        <v>2800</v>
      </c>
      <c r="M580" s="79"/>
      <c r="N580" s="19"/>
      <c r="Z580" s="35">
        <f>IF(AQ580="5",BJ580,0)</f>
        <v>0</v>
      </c>
      <c r="AB580" s="35">
        <f>IF(AQ580="1",BH580,0)</f>
        <v>0</v>
      </c>
      <c r="AC580" s="35">
        <f>IF(AQ580="1",BI580,0)</f>
        <v>2800</v>
      </c>
      <c r="AD580" s="35">
        <f>IF(AQ580="7",BH580,0)</f>
        <v>0</v>
      </c>
      <c r="AE580" s="35">
        <f>IF(AQ580="7",BI580,0)</f>
        <v>0</v>
      </c>
      <c r="AF580" s="35">
        <f>IF(AQ580="2",BH580,0)</f>
        <v>0</v>
      </c>
      <c r="AG580" s="35">
        <f>IF(AQ580="2",BI580,0)</f>
        <v>0</v>
      </c>
      <c r="AH580" s="35">
        <f>IF(AQ580="0",BJ580,0)</f>
        <v>0</v>
      </c>
      <c r="AI580" s="83" t="s">
        <v>65</v>
      </c>
      <c r="AJ580" s="64">
        <f>IF(AN580=0,L580,0)</f>
        <v>0</v>
      </c>
      <c r="AK580" s="64">
        <f>IF(AN580=15,L580,0)</f>
        <v>0</v>
      </c>
      <c r="AL580" s="64">
        <f>IF(AN580=21,L580,0)</f>
        <v>2800</v>
      </c>
      <c r="AN580" s="35">
        <v>21</v>
      </c>
      <c r="AO580" s="35">
        <f>I580*0</f>
        <v>0</v>
      </c>
      <c r="AP580" s="35">
        <f>I580*(1-0)</f>
        <v>2800</v>
      </c>
      <c r="AQ580" s="84" t="s">
        <v>141</v>
      </c>
      <c r="AV580" s="35">
        <f>AW580+AX580</f>
        <v>2800</v>
      </c>
      <c r="AW580" s="35">
        <f>H580*AO580</f>
        <v>0</v>
      </c>
      <c r="AX580" s="35">
        <f>H580*AP580</f>
        <v>2800</v>
      </c>
      <c r="AY580" s="86" t="s">
        <v>1047</v>
      </c>
      <c r="AZ580" s="86" t="s">
        <v>1069</v>
      </c>
      <c r="BA580" s="83" t="s">
        <v>1079</v>
      </c>
      <c r="BC580" s="35">
        <f>AW580+AX580</f>
        <v>2800</v>
      </c>
      <c r="BD580" s="35">
        <f>I580/(100-BE580)*100</f>
        <v>2800</v>
      </c>
      <c r="BE580" s="35">
        <v>0</v>
      </c>
      <c r="BF580" s="35">
        <f>580</f>
        <v>580</v>
      </c>
      <c r="BH580" s="64">
        <f>H580*AO580</f>
        <v>0</v>
      </c>
      <c r="BI580" s="64">
        <f>H580*AP580</f>
        <v>2800</v>
      </c>
      <c r="BJ580" s="64">
        <f>H580*I580</f>
        <v>2800</v>
      </c>
      <c r="BK580" s="64" t="s">
        <v>1086</v>
      </c>
      <c r="BL580" s="35" t="s">
        <v>118</v>
      </c>
    </row>
    <row r="581" spans="1:64" x14ac:dyDescent="0.2">
      <c r="A581" s="19"/>
      <c r="C581" s="59" t="s">
        <v>521</v>
      </c>
      <c r="D581" s="180" t="s">
        <v>963</v>
      </c>
      <c r="E581" s="181"/>
      <c r="F581" s="181"/>
      <c r="G581" s="181"/>
      <c r="H581" s="181"/>
      <c r="I581" s="182"/>
      <c r="J581" s="181"/>
      <c r="K581" s="181"/>
      <c r="L581" s="181"/>
      <c r="M581" s="183"/>
      <c r="N581" s="19"/>
    </row>
    <row r="582" spans="1:64" x14ac:dyDescent="0.2">
      <c r="A582" s="47" t="s">
        <v>407</v>
      </c>
      <c r="B582" s="55" t="s">
        <v>65</v>
      </c>
      <c r="C582" s="55" t="s">
        <v>629</v>
      </c>
      <c r="D582" s="178" t="s">
        <v>964</v>
      </c>
      <c r="E582" s="179"/>
      <c r="F582" s="179"/>
      <c r="G582" s="55" t="s">
        <v>1002</v>
      </c>
      <c r="H582" s="64">
        <v>1</v>
      </c>
      <c r="I582" s="71">
        <v>2450</v>
      </c>
      <c r="J582" s="64">
        <f>H582*AO582</f>
        <v>0</v>
      </c>
      <c r="K582" s="64">
        <f>H582*AP582</f>
        <v>2450</v>
      </c>
      <c r="L582" s="64">
        <f>H582*I582</f>
        <v>2450</v>
      </c>
      <c r="M582" s="79"/>
      <c r="N582" s="19"/>
      <c r="Z582" s="35">
        <f>IF(AQ582="5",BJ582,0)</f>
        <v>0</v>
      </c>
      <c r="AB582" s="35">
        <f>IF(AQ582="1",BH582,0)</f>
        <v>0</v>
      </c>
      <c r="AC582" s="35">
        <f>IF(AQ582="1",BI582,0)</f>
        <v>2450</v>
      </c>
      <c r="AD582" s="35">
        <f>IF(AQ582="7",BH582,0)</f>
        <v>0</v>
      </c>
      <c r="AE582" s="35">
        <f>IF(AQ582="7",BI582,0)</f>
        <v>0</v>
      </c>
      <c r="AF582" s="35">
        <f>IF(AQ582="2",BH582,0)</f>
        <v>0</v>
      </c>
      <c r="AG582" s="35">
        <f>IF(AQ582="2",BI582,0)</f>
        <v>0</v>
      </c>
      <c r="AH582" s="35">
        <f>IF(AQ582="0",BJ582,0)</f>
        <v>0</v>
      </c>
      <c r="AI582" s="83" t="s">
        <v>65</v>
      </c>
      <c r="AJ582" s="64">
        <f>IF(AN582=0,L582,0)</f>
        <v>0</v>
      </c>
      <c r="AK582" s="64">
        <f>IF(AN582=15,L582,0)</f>
        <v>0</v>
      </c>
      <c r="AL582" s="64">
        <f>IF(AN582=21,L582,0)</f>
        <v>2450</v>
      </c>
      <c r="AN582" s="35">
        <v>21</v>
      </c>
      <c r="AO582" s="35">
        <f>I582*0</f>
        <v>0</v>
      </c>
      <c r="AP582" s="35">
        <f>I582*(1-0)</f>
        <v>2450</v>
      </c>
      <c r="AQ582" s="84" t="s">
        <v>141</v>
      </c>
      <c r="AV582" s="35">
        <f>AW582+AX582</f>
        <v>2450</v>
      </c>
      <c r="AW582" s="35">
        <f>H582*AO582</f>
        <v>0</v>
      </c>
      <c r="AX582" s="35">
        <f>H582*AP582</f>
        <v>2450</v>
      </c>
      <c r="AY582" s="86" t="s">
        <v>1047</v>
      </c>
      <c r="AZ582" s="86" t="s">
        <v>1069</v>
      </c>
      <c r="BA582" s="83" t="s">
        <v>1079</v>
      </c>
      <c r="BC582" s="35">
        <f>AW582+AX582</f>
        <v>2450</v>
      </c>
      <c r="BD582" s="35">
        <f>I582/(100-BE582)*100</f>
        <v>2450</v>
      </c>
      <c r="BE582" s="35">
        <v>0</v>
      </c>
      <c r="BF582" s="35">
        <f>582</f>
        <v>582</v>
      </c>
      <c r="BH582" s="64">
        <f>H582*AO582</f>
        <v>0</v>
      </c>
      <c r="BI582" s="64">
        <f>H582*AP582</f>
        <v>2450</v>
      </c>
      <c r="BJ582" s="64">
        <f>H582*I582</f>
        <v>2450</v>
      </c>
      <c r="BK582" s="64" t="s">
        <v>1086</v>
      </c>
      <c r="BL582" s="35" t="s">
        <v>118</v>
      </c>
    </row>
    <row r="583" spans="1:64" x14ac:dyDescent="0.2">
      <c r="A583" s="19"/>
      <c r="C583" s="59" t="s">
        <v>521</v>
      </c>
      <c r="D583" s="180" t="s">
        <v>964</v>
      </c>
      <c r="E583" s="181"/>
      <c r="F583" s="181"/>
      <c r="G583" s="181"/>
      <c r="H583" s="181"/>
      <c r="I583" s="182"/>
      <c r="J583" s="181"/>
      <c r="K583" s="181"/>
      <c r="L583" s="181"/>
      <c r="M583" s="183"/>
      <c r="N583" s="19"/>
    </row>
    <row r="584" spans="1:64" x14ac:dyDescent="0.2">
      <c r="A584" s="47" t="s">
        <v>408</v>
      </c>
      <c r="B584" s="55" t="s">
        <v>65</v>
      </c>
      <c r="C584" s="55" t="s">
        <v>630</v>
      </c>
      <c r="D584" s="178" t="s">
        <v>965</v>
      </c>
      <c r="E584" s="179"/>
      <c r="F584" s="179"/>
      <c r="G584" s="55" t="s">
        <v>1002</v>
      </c>
      <c r="H584" s="64">
        <v>1</v>
      </c>
      <c r="I584" s="71">
        <v>5500</v>
      </c>
      <c r="J584" s="64">
        <f>H584*AO584</f>
        <v>0</v>
      </c>
      <c r="K584" s="64">
        <f>H584*AP584</f>
        <v>5500</v>
      </c>
      <c r="L584" s="64">
        <f>H584*I584</f>
        <v>5500</v>
      </c>
      <c r="M584" s="79"/>
      <c r="N584" s="19"/>
      <c r="Z584" s="35">
        <f>IF(AQ584="5",BJ584,0)</f>
        <v>0</v>
      </c>
      <c r="AB584" s="35">
        <f>IF(AQ584="1",BH584,0)</f>
        <v>0</v>
      </c>
      <c r="AC584" s="35">
        <f>IF(AQ584="1",BI584,0)</f>
        <v>5500</v>
      </c>
      <c r="AD584" s="35">
        <f>IF(AQ584="7",BH584,0)</f>
        <v>0</v>
      </c>
      <c r="AE584" s="35">
        <f>IF(AQ584="7",BI584,0)</f>
        <v>0</v>
      </c>
      <c r="AF584" s="35">
        <f>IF(AQ584="2",BH584,0)</f>
        <v>0</v>
      </c>
      <c r="AG584" s="35">
        <f>IF(AQ584="2",BI584,0)</f>
        <v>0</v>
      </c>
      <c r="AH584" s="35">
        <f>IF(AQ584="0",BJ584,0)</f>
        <v>0</v>
      </c>
      <c r="AI584" s="83" t="s">
        <v>65</v>
      </c>
      <c r="AJ584" s="64">
        <f>IF(AN584=0,L584,0)</f>
        <v>0</v>
      </c>
      <c r="AK584" s="64">
        <f>IF(AN584=15,L584,0)</f>
        <v>0</v>
      </c>
      <c r="AL584" s="64">
        <f>IF(AN584=21,L584,0)</f>
        <v>5500</v>
      </c>
      <c r="AN584" s="35">
        <v>21</v>
      </c>
      <c r="AO584" s="35">
        <f>I584*0</f>
        <v>0</v>
      </c>
      <c r="AP584" s="35">
        <f>I584*(1-0)</f>
        <v>5500</v>
      </c>
      <c r="AQ584" s="84" t="s">
        <v>141</v>
      </c>
      <c r="AV584" s="35">
        <f>AW584+AX584</f>
        <v>5500</v>
      </c>
      <c r="AW584" s="35">
        <f>H584*AO584</f>
        <v>0</v>
      </c>
      <c r="AX584" s="35">
        <f>H584*AP584</f>
        <v>5500</v>
      </c>
      <c r="AY584" s="86" t="s">
        <v>1047</v>
      </c>
      <c r="AZ584" s="86" t="s">
        <v>1069</v>
      </c>
      <c r="BA584" s="83" t="s">
        <v>1079</v>
      </c>
      <c r="BC584" s="35">
        <f>AW584+AX584</f>
        <v>5500</v>
      </c>
      <c r="BD584" s="35">
        <f>I584/(100-BE584)*100</f>
        <v>5500</v>
      </c>
      <c r="BE584" s="35">
        <v>0</v>
      </c>
      <c r="BF584" s="35">
        <f>584</f>
        <v>584</v>
      </c>
      <c r="BH584" s="64">
        <f>H584*AO584</f>
        <v>0</v>
      </c>
      <c r="BI584" s="64">
        <f>H584*AP584</f>
        <v>5500</v>
      </c>
      <c r="BJ584" s="64">
        <f>H584*I584</f>
        <v>5500</v>
      </c>
      <c r="BK584" s="64" t="s">
        <v>1086</v>
      </c>
      <c r="BL584" s="35" t="s">
        <v>118</v>
      </c>
    </row>
    <row r="585" spans="1:64" x14ac:dyDescent="0.2">
      <c r="A585" s="19"/>
      <c r="C585" s="59" t="s">
        <v>521</v>
      </c>
      <c r="D585" s="180" t="s">
        <v>966</v>
      </c>
      <c r="E585" s="181"/>
      <c r="F585" s="181"/>
      <c r="G585" s="181"/>
      <c r="H585" s="181"/>
      <c r="I585" s="182"/>
      <c r="J585" s="181"/>
      <c r="K585" s="181"/>
      <c r="L585" s="181"/>
      <c r="M585" s="183"/>
      <c r="N585" s="19"/>
    </row>
    <row r="586" spans="1:64" x14ac:dyDescent="0.2">
      <c r="A586" s="47" t="s">
        <v>409</v>
      </c>
      <c r="B586" s="55" t="s">
        <v>65</v>
      </c>
      <c r="C586" s="55" t="s">
        <v>631</v>
      </c>
      <c r="D586" s="178" t="s">
        <v>967</v>
      </c>
      <c r="E586" s="179"/>
      <c r="F586" s="179"/>
      <c r="G586" s="55" t="s">
        <v>999</v>
      </c>
      <c r="H586" s="64">
        <v>100</v>
      </c>
      <c r="I586" s="71">
        <v>79</v>
      </c>
      <c r="J586" s="64">
        <f>H586*AO586</f>
        <v>0</v>
      </c>
      <c r="K586" s="64">
        <f>H586*AP586</f>
        <v>7900</v>
      </c>
      <c r="L586" s="64">
        <f>H586*I586</f>
        <v>7900</v>
      </c>
      <c r="M586" s="79" t="s">
        <v>1020</v>
      </c>
      <c r="N586" s="19"/>
      <c r="Z586" s="35">
        <f>IF(AQ586="5",BJ586,0)</f>
        <v>0</v>
      </c>
      <c r="AB586" s="35">
        <f>IF(AQ586="1",BH586,0)</f>
        <v>0</v>
      </c>
      <c r="AC586" s="35">
        <f>IF(AQ586="1",BI586,0)</f>
        <v>7900</v>
      </c>
      <c r="AD586" s="35">
        <f>IF(AQ586="7",BH586,0)</f>
        <v>0</v>
      </c>
      <c r="AE586" s="35">
        <f>IF(AQ586="7",BI586,0)</f>
        <v>0</v>
      </c>
      <c r="AF586" s="35">
        <f>IF(AQ586="2",BH586,0)</f>
        <v>0</v>
      </c>
      <c r="AG586" s="35">
        <f>IF(AQ586="2",BI586,0)</f>
        <v>0</v>
      </c>
      <c r="AH586" s="35">
        <f>IF(AQ586="0",BJ586,0)</f>
        <v>0</v>
      </c>
      <c r="AI586" s="83" t="s">
        <v>65</v>
      </c>
      <c r="AJ586" s="64">
        <f>IF(AN586=0,L586,0)</f>
        <v>0</v>
      </c>
      <c r="AK586" s="64">
        <f>IF(AN586=15,L586,0)</f>
        <v>0</v>
      </c>
      <c r="AL586" s="64">
        <f>IF(AN586=21,L586,0)</f>
        <v>7900</v>
      </c>
      <c r="AN586" s="35">
        <v>21</v>
      </c>
      <c r="AO586" s="35">
        <f>I586*0</f>
        <v>0</v>
      </c>
      <c r="AP586" s="35">
        <f>I586*(1-0)</f>
        <v>79</v>
      </c>
      <c r="AQ586" s="84" t="s">
        <v>141</v>
      </c>
      <c r="AV586" s="35">
        <f>AW586+AX586</f>
        <v>7900</v>
      </c>
      <c r="AW586" s="35">
        <f>H586*AO586</f>
        <v>0</v>
      </c>
      <c r="AX586" s="35">
        <f>H586*AP586</f>
        <v>7900</v>
      </c>
      <c r="AY586" s="86" t="s">
        <v>1047</v>
      </c>
      <c r="AZ586" s="86" t="s">
        <v>1069</v>
      </c>
      <c r="BA586" s="83" t="s">
        <v>1079</v>
      </c>
      <c r="BC586" s="35">
        <f>AW586+AX586</f>
        <v>7900</v>
      </c>
      <c r="BD586" s="35">
        <f>I586/(100-BE586)*100</f>
        <v>79</v>
      </c>
      <c r="BE586" s="35">
        <v>0</v>
      </c>
      <c r="BF586" s="35">
        <f>586</f>
        <v>586</v>
      </c>
      <c r="BH586" s="64">
        <f>H586*AO586</f>
        <v>0</v>
      </c>
      <c r="BI586" s="64">
        <f>H586*AP586</f>
        <v>7900</v>
      </c>
      <c r="BJ586" s="64">
        <f>H586*I586</f>
        <v>7900</v>
      </c>
      <c r="BK586" s="64" t="s">
        <v>1086</v>
      </c>
      <c r="BL586" s="35" t="s">
        <v>118</v>
      </c>
    </row>
    <row r="587" spans="1:64" x14ac:dyDescent="0.2">
      <c r="A587" s="19"/>
      <c r="C587" s="59" t="s">
        <v>521</v>
      </c>
      <c r="D587" s="180" t="s">
        <v>968</v>
      </c>
      <c r="E587" s="181"/>
      <c r="F587" s="181"/>
      <c r="G587" s="181"/>
      <c r="H587" s="181"/>
      <c r="I587" s="182"/>
      <c r="J587" s="181"/>
      <c r="K587" s="181"/>
      <c r="L587" s="181"/>
      <c r="M587" s="183"/>
      <c r="N587" s="19"/>
    </row>
    <row r="588" spans="1:64" x14ac:dyDescent="0.2">
      <c r="A588" s="48"/>
      <c r="B588" s="56" t="s">
        <v>66</v>
      </c>
      <c r="C588" s="56"/>
      <c r="D588" s="184" t="s">
        <v>73</v>
      </c>
      <c r="E588" s="185"/>
      <c r="F588" s="185"/>
      <c r="G588" s="62" t="s">
        <v>60</v>
      </c>
      <c r="H588" s="62" t="s">
        <v>60</v>
      </c>
      <c r="I588" s="72" t="s">
        <v>60</v>
      </c>
      <c r="J588" s="90">
        <f>J589+J596+J607+J616+J643+J748</f>
        <v>269051</v>
      </c>
      <c r="K588" s="90">
        <f>K589+K596+K607+K616+K643+K748</f>
        <v>88348.05</v>
      </c>
      <c r="L588" s="90">
        <f>L589+L596+L607+L616+L643+L748</f>
        <v>357399.05000000005</v>
      </c>
      <c r="M588" s="80"/>
      <c r="N588" s="19"/>
    </row>
    <row r="589" spans="1:64" x14ac:dyDescent="0.2">
      <c r="A589" s="46"/>
      <c r="B589" s="54" t="s">
        <v>66</v>
      </c>
      <c r="C589" s="54" t="s">
        <v>102</v>
      </c>
      <c r="D589" s="176" t="s">
        <v>121</v>
      </c>
      <c r="E589" s="177"/>
      <c r="F589" s="177"/>
      <c r="G589" s="61" t="s">
        <v>60</v>
      </c>
      <c r="H589" s="61" t="s">
        <v>60</v>
      </c>
      <c r="I589" s="70" t="s">
        <v>60</v>
      </c>
      <c r="J589" s="89">
        <f>SUM(J590:J594)</f>
        <v>4060</v>
      </c>
      <c r="K589" s="89">
        <f>SUM(K590:K594)</f>
        <v>9713.9069999999992</v>
      </c>
      <c r="L589" s="89">
        <f>SUM(L590:L594)</f>
        <v>13773.906999999999</v>
      </c>
      <c r="M589" s="78"/>
      <c r="N589" s="19"/>
      <c r="AI589" s="83" t="s">
        <v>66</v>
      </c>
      <c r="AS589" s="89">
        <f>SUM(AJ590:AJ594)</f>
        <v>0</v>
      </c>
      <c r="AT589" s="89">
        <f>SUM(AK590:AK594)</f>
        <v>0</v>
      </c>
      <c r="AU589" s="89">
        <f>SUM(AL590:AL594)</f>
        <v>13773.906999999999</v>
      </c>
    </row>
    <row r="590" spans="1:64" x14ac:dyDescent="0.2">
      <c r="A590" s="47" t="s">
        <v>410</v>
      </c>
      <c r="B590" s="55" t="s">
        <v>66</v>
      </c>
      <c r="C590" s="55" t="s">
        <v>548</v>
      </c>
      <c r="D590" s="178" t="s">
        <v>869</v>
      </c>
      <c r="E590" s="179"/>
      <c r="F590" s="179"/>
      <c r="G590" s="55" t="s">
        <v>999</v>
      </c>
      <c r="H590" s="64">
        <v>7</v>
      </c>
      <c r="I590" s="71">
        <v>1350</v>
      </c>
      <c r="J590" s="64">
        <f>H590*AO590</f>
        <v>0</v>
      </c>
      <c r="K590" s="64">
        <f>H590*AP590</f>
        <v>9450</v>
      </c>
      <c r="L590" s="64">
        <f>H590*I590</f>
        <v>9450</v>
      </c>
      <c r="M590" s="79" t="s">
        <v>1020</v>
      </c>
      <c r="N590" s="19"/>
      <c r="Z590" s="35">
        <f>IF(AQ590="5",BJ590,0)</f>
        <v>0</v>
      </c>
      <c r="AB590" s="35">
        <f>IF(AQ590="1",BH590,0)</f>
        <v>0</v>
      </c>
      <c r="AC590" s="35">
        <f>IF(AQ590="1",BI590,0)</f>
        <v>0</v>
      </c>
      <c r="AD590" s="35">
        <f>IF(AQ590="7",BH590,0)</f>
        <v>0</v>
      </c>
      <c r="AE590" s="35">
        <f>IF(AQ590="7",BI590,0)</f>
        <v>9450</v>
      </c>
      <c r="AF590" s="35">
        <f>IF(AQ590="2",BH590,0)</f>
        <v>0</v>
      </c>
      <c r="AG590" s="35">
        <f>IF(AQ590="2",BI590,0)</f>
        <v>0</v>
      </c>
      <c r="AH590" s="35">
        <f>IF(AQ590="0",BJ590,0)</f>
        <v>0</v>
      </c>
      <c r="AI590" s="83" t="s">
        <v>66</v>
      </c>
      <c r="AJ590" s="64">
        <f>IF(AN590=0,L590,0)</f>
        <v>0</v>
      </c>
      <c r="AK590" s="64">
        <f>IF(AN590=15,L590,0)</f>
        <v>0</v>
      </c>
      <c r="AL590" s="64">
        <f>IF(AN590=21,L590,0)</f>
        <v>9450</v>
      </c>
      <c r="AN590" s="35">
        <v>21</v>
      </c>
      <c r="AO590" s="35">
        <f>I590*0</f>
        <v>0</v>
      </c>
      <c r="AP590" s="35">
        <f>I590*(1-0)</f>
        <v>1350</v>
      </c>
      <c r="AQ590" s="84" t="s">
        <v>144</v>
      </c>
      <c r="AV590" s="35">
        <f>AW590+AX590</f>
        <v>9450</v>
      </c>
      <c r="AW590" s="35">
        <f>H590*AO590</f>
        <v>0</v>
      </c>
      <c r="AX590" s="35">
        <f>H590*AP590</f>
        <v>9450</v>
      </c>
      <c r="AY590" s="86" t="s">
        <v>1031</v>
      </c>
      <c r="AZ590" s="86" t="s">
        <v>1070</v>
      </c>
      <c r="BA590" s="83" t="s">
        <v>1080</v>
      </c>
      <c r="BC590" s="35">
        <f>AW590+AX590</f>
        <v>9450</v>
      </c>
      <c r="BD590" s="35">
        <f>I590/(100-BE590)*100</f>
        <v>1350</v>
      </c>
      <c r="BE590" s="35">
        <v>0</v>
      </c>
      <c r="BF590" s="35">
        <f>590</f>
        <v>590</v>
      </c>
      <c r="BH590" s="64">
        <f>H590*AO590</f>
        <v>0</v>
      </c>
      <c r="BI590" s="64">
        <f>H590*AP590</f>
        <v>9450</v>
      </c>
      <c r="BJ590" s="64">
        <f>H590*I590</f>
        <v>9450</v>
      </c>
      <c r="BK590" s="64" t="s">
        <v>1086</v>
      </c>
      <c r="BL590" s="35">
        <v>713</v>
      </c>
    </row>
    <row r="591" spans="1:64" x14ac:dyDescent="0.2">
      <c r="A591" s="19"/>
      <c r="C591" s="59" t="s">
        <v>521</v>
      </c>
      <c r="D591" s="180" t="s">
        <v>869</v>
      </c>
      <c r="E591" s="181"/>
      <c r="F591" s="181"/>
      <c r="G591" s="181"/>
      <c r="H591" s="181"/>
      <c r="I591" s="182"/>
      <c r="J591" s="181"/>
      <c r="K591" s="181"/>
      <c r="L591" s="181"/>
      <c r="M591" s="183"/>
      <c r="N591" s="19"/>
    </row>
    <row r="592" spans="1:64" x14ac:dyDescent="0.2">
      <c r="A592" s="49" t="s">
        <v>411</v>
      </c>
      <c r="B592" s="57" t="s">
        <v>66</v>
      </c>
      <c r="C592" s="57" t="s">
        <v>754</v>
      </c>
      <c r="D592" s="186" t="s">
        <v>870</v>
      </c>
      <c r="E592" s="187"/>
      <c r="F592" s="187"/>
      <c r="G592" s="57" t="s">
        <v>999</v>
      </c>
      <c r="H592" s="65">
        <v>7</v>
      </c>
      <c r="I592" s="73">
        <v>580</v>
      </c>
      <c r="J592" s="65">
        <f>H592*AO592</f>
        <v>4060</v>
      </c>
      <c r="K592" s="65">
        <f>H592*AP592</f>
        <v>0</v>
      </c>
      <c r="L592" s="65">
        <f>H592*I592</f>
        <v>4060</v>
      </c>
      <c r="M592" s="81"/>
      <c r="N592" s="19"/>
      <c r="Z592" s="35">
        <f>IF(AQ592="5",BJ592,0)</f>
        <v>0</v>
      </c>
      <c r="AB592" s="35">
        <f>IF(AQ592="1",BH592,0)</f>
        <v>0</v>
      </c>
      <c r="AC592" s="35">
        <f>IF(AQ592="1",BI592,0)</f>
        <v>0</v>
      </c>
      <c r="AD592" s="35">
        <f>IF(AQ592="7",BH592,0)</f>
        <v>4060</v>
      </c>
      <c r="AE592" s="35">
        <f>IF(AQ592="7",BI592,0)</f>
        <v>0</v>
      </c>
      <c r="AF592" s="35">
        <f>IF(AQ592="2",BH592,0)</f>
        <v>0</v>
      </c>
      <c r="AG592" s="35">
        <f>IF(AQ592="2",BI592,0)</f>
        <v>0</v>
      </c>
      <c r="AH592" s="35">
        <f>IF(AQ592="0",BJ592,0)</f>
        <v>0</v>
      </c>
      <c r="AI592" s="83" t="s">
        <v>66</v>
      </c>
      <c r="AJ592" s="65">
        <f>IF(AN592=0,L592,0)</f>
        <v>0</v>
      </c>
      <c r="AK592" s="65">
        <f>IF(AN592=15,L592,0)</f>
        <v>0</v>
      </c>
      <c r="AL592" s="65">
        <f>IF(AN592=21,L592,0)</f>
        <v>4060</v>
      </c>
      <c r="AN592" s="35">
        <v>21</v>
      </c>
      <c r="AO592" s="35">
        <f>I592*1</f>
        <v>580</v>
      </c>
      <c r="AP592" s="35">
        <f>I592*(1-1)</f>
        <v>0</v>
      </c>
      <c r="AQ592" s="85" t="s">
        <v>144</v>
      </c>
      <c r="AV592" s="35">
        <f>AW592+AX592</f>
        <v>4060</v>
      </c>
      <c r="AW592" s="35">
        <f>H592*AO592</f>
        <v>4060</v>
      </c>
      <c r="AX592" s="35">
        <f>H592*AP592</f>
        <v>0</v>
      </c>
      <c r="AY592" s="86" t="s">
        <v>1031</v>
      </c>
      <c r="AZ592" s="86" t="s">
        <v>1070</v>
      </c>
      <c r="BA592" s="83" t="s">
        <v>1080</v>
      </c>
      <c r="BC592" s="35">
        <f>AW592+AX592</f>
        <v>4060</v>
      </c>
      <c r="BD592" s="35">
        <f>I592/(100-BE592)*100</f>
        <v>580</v>
      </c>
      <c r="BE592" s="35">
        <v>0</v>
      </c>
      <c r="BF592" s="35">
        <f>592</f>
        <v>592</v>
      </c>
      <c r="BH592" s="65">
        <f>H592*AO592</f>
        <v>4060</v>
      </c>
      <c r="BI592" s="65">
        <f>H592*AP592</f>
        <v>0</v>
      </c>
      <c r="BJ592" s="65">
        <f>H592*I592</f>
        <v>4060</v>
      </c>
      <c r="BK592" s="65" t="s">
        <v>1001</v>
      </c>
      <c r="BL592" s="35">
        <v>713</v>
      </c>
    </row>
    <row r="593" spans="1:64" x14ac:dyDescent="0.2">
      <c r="A593" s="19"/>
      <c r="C593" s="59" t="s">
        <v>521</v>
      </c>
      <c r="D593" s="180" t="s">
        <v>870</v>
      </c>
      <c r="E593" s="181"/>
      <c r="F593" s="181"/>
      <c r="G593" s="181"/>
      <c r="H593" s="181"/>
      <c r="I593" s="182"/>
      <c r="J593" s="181"/>
      <c r="K593" s="181"/>
      <c r="L593" s="181"/>
      <c r="M593" s="183"/>
      <c r="N593" s="19"/>
    </row>
    <row r="594" spans="1:64" x14ac:dyDescent="0.2">
      <c r="A594" s="47" t="s">
        <v>412</v>
      </c>
      <c r="B594" s="55" t="s">
        <v>66</v>
      </c>
      <c r="C594" s="55" t="s">
        <v>550</v>
      </c>
      <c r="D594" s="178" t="s">
        <v>871</v>
      </c>
      <c r="E594" s="179"/>
      <c r="F594" s="179"/>
      <c r="G594" s="55" t="s">
        <v>1000</v>
      </c>
      <c r="H594" s="64">
        <v>149.1</v>
      </c>
      <c r="I594" s="71">
        <v>1.77</v>
      </c>
      <c r="J594" s="64">
        <f>H594*AO594</f>
        <v>0</v>
      </c>
      <c r="K594" s="64">
        <f>H594*AP594</f>
        <v>263.90699999999998</v>
      </c>
      <c r="L594" s="64">
        <f>H594*I594</f>
        <v>263.90699999999998</v>
      </c>
      <c r="M594" s="79" t="s">
        <v>1020</v>
      </c>
      <c r="N594" s="19"/>
      <c r="Z594" s="35">
        <f>IF(AQ594="5",BJ594,0)</f>
        <v>0</v>
      </c>
      <c r="AB594" s="35">
        <f>IF(AQ594="1",BH594,0)</f>
        <v>0</v>
      </c>
      <c r="AC594" s="35">
        <f>IF(AQ594="1",BI594,0)</f>
        <v>0</v>
      </c>
      <c r="AD594" s="35">
        <f>IF(AQ594="7",BH594,0)</f>
        <v>0</v>
      </c>
      <c r="AE594" s="35">
        <f>IF(AQ594="7",BI594,0)</f>
        <v>263.90699999999998</v>
      </c>
      <c r="AF594" s="35">
        <f>IF(AQ594="2",BH594,0)</f>
        <v>0</v>
      </c>
      <c r="AG594" s="35">
        <f>IF(AQ594="2",BI594,0)</f>
        <v>0</v>
      </c>
      <c r="AH594" s="35">
        <f>IF(AQ594="0",BJ594,0)</f>
        <v>0</v>
      </c>
      <c r="AI594" s="83" t="s">
        <v>66</v>
      </c>
      <c r="AJ594" s="64">
        <f>IF(AN594=0,L594,0)</f>
        <v>0</v>
      </c>
      <c r="AK594" s="64">
        <f>IF(AN594=15,L594,0)</f>
        <v>0</v>
      </c>
      <c r="AL594" s="64">
        <f>IF(AN594=21,L594,0)</f>
        <v>263.90699999999998</v>
      </c>
      <c r="AN594" s="35">
        <v>21</v>
      </c>
      <c r="AO594" s="35">
        <f>I594*0</f>
        <v>0</v>
      </c>
      <c r="AP594" s="35">
        <f>I594*(1-0)</f>
        <v>1.77</v>
      </c>
      <c r="AQ594" s="84" t="s">
        <v>144</v>
      </c>
      <c r="AV594" s="35">
        <f>AW594+AX594</f>
        <v>263.90699999999998</v>
      </c>
      <c r="AW594" s="35">
        <f>H594*AO594</f>
        <v>0</v>
      </c>
      <c r="AX594" s="35">
        <f>H594*AP594</f>
        <v>263.90699999999998</v>
      </c>
      <c r="AY594" s="86" t="s">
        <v>1031</v>
      </c>
      <c r="AZ594" s="86" t="s">
        <v>1070</v>
      </c>
      <c r="BA594" s="83" t="s">
        <v>1080</v>
      </c>
      <c r="BC594" s="35">
        <f>AW594+AX594</f>
        <v>263.90699999999998</v>
      </c>
      <c r="BD594" s="35">
        <f>I594/(100-BE594)*100</f>
        <v>1.77</v>
      </c>
      <c r="BE594" s="35">
        <v>0</v>
      </c>
      <c r="BF594" s="35">
        <f>594</f>
        <v>594</v>
      </c>
      <c r="BH594" s="64">
        <f>H594*AO594</f>
        <v>0</v>
      </c>
      <c r="BI594" s="64">
        <f>H594*AP594</f>
        <v>263.90699999999998</v>
      </c>
      <c r="BJ594" s="64">
        <f>H594*I594</f>
        <v>263.90699999999998</v>
      </c>
      <c r="BK594" s="64" t="s">
        <v>1086</v>
      </c>
      <c r="BL594" s="35">
        <v>713</v>
      </c>
    </row>
    <row r="595" spans="1:64" x14ac:dyDescent="0.2">
      <c r="A595" s="19"/>
      <c r="C595" s="59" t="s">
        <v>521</v>
      </c>
      <c r="D595" s="180" t="s">
        <v>872</v>
      </c>
      <c r="E595" s="181"/>
      <c r="F595" s="181"/>
      <c r="G595" s="181"/>
      <c r="H595" s="181"/>
      <c r="I595" s="182"/>
      <c r="J595" s="181"/>
      <c r="K595" s="181"/>
      <c r="L595" s="181"/>
      <c r="M595" s="183"/>
      <c r="N595" s="19"/>
    </row>
    <row r="596" spans="1:64" x14ac:dyDescent="0.2">
      <c r="A596" s="46"/>
      <c r="B596" s="54" t="s">
        <v>66</v>
      </c>
      <c r="C596" s="54" t="s">
        <v>114</v>
      </c>
      <c r="D596" s="176" t="s">
        <v>133</v>
      </c>
      <c r="E596" s="177"/>
      <c r="F596" s="177"/>
      <c r="G596" s="61" t="s">
        <v>60</v>
      </c>
      <c r="H596" s="61" t="s">
        <v>60</v>
      </c>
      <c r="I596" s="70" t="s">
        <v>60</v>
      </c>
      <c r="J596" s="89">
        <f>SUM(J597:J605)</f>
        <v>605</v>
      </c>
      <c r="K596" s="89">
        <f>SUM(K597:K605)</f>
        <v>1677.2809999999999</v>
      </c>
      <c r="L596" s="89">
        <f>SUM(L597:L605)</f>
        <v>2282.2809999999999</v>
      </c>
      <c r="M596" s="78"/>
      <c r="N596" s="19"/>
      <c r="AI596" s="83" t="s">
        <v>66</v>
      </c>
      <c r="AS596" s="89">
        <f>SUM(AJ597:AJ605)</f>
        <v>0</v>
      </c>
      <c r="AT596" s="89">
        <f>SUM(AK597:AK605)</f>
        <v>0</v>
      </c>
      <c r="AU596" s="89">
        <f>SUM(AL597:AL605)</f>
        <v>2282.2809999999999</v>
      </c>
    </row>
    <row r="597" spans="1:64" x14ac:dyDescent="0.2">
      <c r="A597" s="47" t="s">
        <v>413</v>
      </c>
      <c r="B597" s="55" t="s">
        <v>66</v>
      </c>
      <c r="C597" s="55" t="s">
        <v>551</v>
      </c>
      <c r="D597" s="178" t="s">
        <v>873</v>
      </c>
      <c r="E597" s="179"/>
      <c r="F597" s="179"/>
      <c r="G597" s="55" t="s">
        <v>1001</v>
      </c>
      <c r="H597" s="64">
        <v>10</v>
      </c>
      <c r="I597" s="71">
        <v>125</v>
      </c>
      <c r="J597" s="64">
        <f>H597*AO597</f>
        <v>0</v>
      </c>
      <c r="K597" s="64">
        <f>H597*AP597</f>
        <v>1250</v>
      </c>
      <c r="L597" s="64">
        <f>H597*I597</f>
        <v>1250</v>
      </c>
      <c r="M597" s="79"/>
      <c r="N597" s="19"/>
      <c r="Z597" s="35">
        <f>IF(AQ597="5",BJ597,0)</f>
        <v>0</v>
      </c>
      <c r="AB597" s="35">
        <f>IF(AQ597="1",BH597,0)</f>
        <v>0</v>
      </c>
      <c r="AC597" s="35">
        <f>IF(AQ597="1",BI597,0)</f>
        <v>0</v>
      </c>
      <c r="AD597" s="35">
        <f>IF(AQ597="7",BH597,0)</f>
        <v>0</v>
      </c>
      <c r="AE597" s="35">
        <f>IF(AQ597="7",BI597,0)</f>
        <v>1250</v>
      </c>
      <c r="AF597" s="35">
        <f>IF(AQ597="2",BH597,0)</f>
        <v>0</v>
      </c>
      <c r="AG597" s="35">
        <f>IF(AQ597="2",BI597,0)</f>
        <v>0</v>
      </c>
      <c r="AH597" s="35">
        <f>IF(AQ597="0",BJ597,0)</f>
        <v>0</v>
      </c>
      <c r="AI597" s="83" t="s">
        <v>66</v>
      </c>
      <c r="AJ597" s="64">
        <f>IF(AN597=0,L597,0)</f>
        <v>0</v>
      </c>
      <c r="AK597" s="64">
        <f>IF(AN597=15,L597,0)</f>
        <v>0</v>
      </c>
      <c r="AL597" s="64">
        <f>IF(AN597=21,L597,0)</f>
        <v>1250</v>
      </c>
      <c r="AN597" s="35">
        <v>21</v>
      </c>
      <c r="AO597" s="35">
        <f>I597*0</f>
        <v>0</v>
      </c>
      <c r="AP597" s="35">
        <f>I597*(1-0)</f>
        <v>125</v>
      </c>
      <c r="AQ597" s="84" t="s">
        <v>144</v>
      </c>
      <c r="AV597" s="35">
        <f>AW597+AX597</f>
        <v>1250</v>
      </c>
      <c r="AW597" s="35">
        <f>H597*AO597</f>
        <v>0</v>
      </c>
      <c r="AX597" s="35">
        <f>H597*AP597</f>
        <v>1250</v>
      </c>
      <c r="AY597" s="86" t="s">
        <v>1043</v>
      </c>
      <c r="AZ597" s="86" t="s">
        <v>1071</v>
      </c>
      <c r="BA597" s="83" t="s">
        <v>1080</v>
      </c>
      <c r="BC597" s="35">
        <f>AW597+AX597</f>
        <v>1250</v>
      </c>
      <c r="BD597" s="35">
        <f>I597/(100-BE597)*100</f>
        <v>125</v>
      </c>
      <c r="BE597" s="35">
        <v>0</v>
      </c>
      <c r="BF597" s="35">
        <f>597</f>
        <v>597</v>
      </c>
      <c r="BH597" s="64">
        <f>H597*AO597</f>
        <v>0</v>
      </c>
      <c r="BI597" s="64">
        <f>H597*AP597</f>
        <v>1250</v>
      </c>
      <c r="BJ597" s="64">
        <f>H597*I597</f>
        <v>1250</v>
      </c>
      <c r="BK597" s="64" t="s">
        <v>1086</v>
      </c>
      <c r="BL597" s="35">
        <v>724</v>
      </c>
    </row>
    <row r="598" spans="1:64" x14ac:dyDescent="0.2">
      <c r="A598" s="19"/>
      <c r="C598" s="59" t="s">
        <v>521</v>
      </c>
      <c r="D598" s="180" t="s">
        <v>873</v>
      </c>
      <c r="E598" s="181"/>
      <c r="F598" s="181"/>
      <c r="G598" s="181"/>
      <c r="H598" s="181"/>
      <c r="I598" s="182"/>
      <c r="J598" s="181"/>
      <c r="K598" s="181"/>
      <c r="L598" s="181"/>
      <c r="M598" s="183"/>
      <c r="N598" s="19"/>
    </row>
    <row r="599" spans="1:64" x14ac:dyDescent="0.2">
      <c r="A599" s="49" t="s">
        <v>414</v>
      </c>
      <c r="B599" s="57" t="s">
        <v>66</v>
      </c>
      <c r="C599" s="57" t="s">
        <v>755</v>
      </c>
      <c r="D599" s="186" t="s">
        <v>874</v>
      </c>
      <c r="E599" s="187"/>
      <c r="F599" s="187"/>
      <c r="G599" s="57" t="s">
        <v>1001</v>
      </c>
      <c r="H599" s="65">
        <v>11</v>
      </c>
      <c r="I599" s="73">
        <v>19</v>
      </c>
      <c r="J599" s="65">
        <f>H599*AO599</f>
        <v>209</v>
      </c>
      <c r="K599" s="65">
        <f>H599*AP599</f>
        <v>0</v>
      </c>
      <c r="L599" s="65">
        <f>H599*I599</f>
        <v>209</v>
      </c>
      <c r="M599" s="81"/>
      <c r="N599" s="19"/>
      <c r="Z599" s="35">
        <f>IF(AQ599="5",BJ599,0)</f>
        <v>0</v>
      </c>
      <c r="AB599" s="35">
        <f>IF(AQ599="1",BH599,0)</f>
        <v>0</v>
      </c>
      <c r="AC599" s="35">
        <f>IF(AQ599="1",BI599,0)</f>
        <v>0</v>
      </c>
      <c r="AD599" s="35">
        <f>IF(AQ599="7",BH599,0)</f>
        <v>209</v>
      </c>
      <c r="AE599" s="35">
        <f>IF(AQ599="7",BI599,0)</f>
        <v>0</v>
      </c>
      <c r="AF599" s="35">
        <f>IF(AQ599="2",BH599,0)</f>
        <v>0</v>
      </c>
      <c r="AG599" s="35">
        <f>IF(AQ599="2",BI599,0)</f>
        <v>0</v>
      </c>
      <c r="AH599" s="35">
        <f>IF(AQ599="0",BJ599,0)</f>
        <v>0</v>
      </c>
      <c r="AI599" s="83" t="s">
        <v>66</v>
      </c>
      <c r="AJ599" s="65">
        <f>IF(AN599=0,L599,0)</f>
        <v>0</v>
      </c>
      <c r="AK599" s="65">
        <f>IF(AN599=15,L599,0)</f>
        <v>0</v>
      </c>
      <c r="AL599" s="65">
        <f>IF(AN599=21,L599,0)</f>
        <v>209</v>
      </c>
      <c r="AN599" s="35">
        <v>21</v>
      </c>
      <c r="AO599" s="35">
        <f>I599*1</f>
        <v>19</v>
      </c>
      <c r="AP599" s="35">
        <f>I599*(1-1)</f>
        <v>0</v>
      </c>
      <c r="AQ599" s="85" t="s">
        <v>144</v>
      </c>
      <c r="AV599" s="35">
        <f>AW599+AX599</f>
        <v>209</v>
      </c>
      <c r="AW599" s="35">
        <f>H599*AO599</f>
        <v>209</v>
      </c>
      <c r="AX599" s="35">
        <f>H599*AP599</f>
        <v>0</v>
      </c>
      <c r="AY599" s="86" t="s">
        <v>1043</v>
      </c>
      <c r="AZ599" s="86" t="s">
        <v>1071</v>
      </c>
      <c r="BA599" s="83" t="s">
        <v>1080</v>
      </c>
      <c r="BC599" s="35">
        <f>AW599+AX599</f>
        <v>209</v>
      </c>
      <c r="BD599" s="35">
        <f>I599/(100-BE599)*100</f>
        <v>19</v>
      </c>
      <c r="BE599" s="35">
        <v>0</v>
      </c>
      <c r="BF599" s="35">
        <f>599</f>
        <v>599</v>
      </c>
      <c r="BH599" s="65">
        <f>H599*AO599</f>
        <v>209</v>
      </c>
      <c r="BI599" s="65">
        <f>H599*AP599</f>
        <v>0</v>
      </c>
      <c r="BJ599" s="65">
        <f>H599*I599</f>
        <v>209</v>
      </c>
      <c r="BK599" s="65" t="s">
        <v>1001</v>
      </c>
      <c r="BL599" s="35">
        <v>724</v>
      </c>
    </row>
    <row r="600" spans="1:64" x14ac:dyDescent="0.2">
      <c r="A600" s="19"/>
      <c r="C600" s="59" t="s">
        <v>521</v>
      </c>
      <c r="D600" s="180" t="s">
        <v>874</v>
      </c>
      <c r="E600" s="181"/>
      <c r="F600" s="181"/>
      <c r="G600" s="181"/>
      <c r="H600" s="181"/>
      <c r="I600" s="182"/>
      <c r="J600" s="181"/>
      <c r="K600" s="181"/>
      <c r="L600" s="181"/>
      <c r="M600" s="183"/>
      <c r="N600" s="19"/>
    </row>
    <row r="601" spans="1:64" x14ac:dyDescent="0.2">
      <c r="A601" s="47" t="s">
        <v>415</v>
      </c>
      <c r="B601" s="55" t="s">
        <v>66</v>
      </c>
      <c r="C601" s="55" t="s">
        <v>756</v>
      </c>
      <c r="D601" s="178" t="s">
        <v>875</v>
      </c>
      <c r="E601" s="179"/>
      <c r="F601" s="179"/>
      <c r="G601" s="55" t="s">
        <v>1002</v>
      </c>
      <c r="H601" s="64">
        <v>1</v>
      </c>
      <c r="I601" s="71">
        <v>396</v>
      </c>
      <c r="J601" s="64">
        <f>H601*AO601</f>
        <v>0</v>
      </c>
      <c r="K601" s="64">
        <f>H601*AP601</f>
        <v>396</v>
      </c>
      <c r="L601" s="64">
        <f>H601*I601</f>
        <v>396</v>
      </c>
      <c r="M601" s="79"/>
      <c r="N601" s="19"/>
      <c r="Z601" s="35">
        <f>IF(AQ601="5",BJ601,0)</f>
        <v>0</v>
      </c>
      <c r="AB601" s="35">
        <f>IF(AQ601="1",BH601,0)</f>
        <v>0</v>
      </c>
      <c r="AC601" s="35">
        <f>IF(AQ601="1",BI601,0)</f>
        <v>0</v>
      </c>
      <c r="AD601" s="35">
        <f>IF(AQ601="7",BH601,0)</f>
        <v>0</v>
      </c>
      <c r="AE601" s="35">
        <f>IF(AQ601="7",BI601,0)</f>
        <v>396</v>
      </c>
      <c r="AF601" s="35">
        <f>IF(AQ601="2",BH601,0)</f>
        <v>0</v>
      </c>
      <c r="AG601" s="35">
        <f>IF(AQ601="2",BI601,0)</f>
        <v>0</v>
      </c>
      <c r="AH601" s="35">
        <f>IF(AQ601="0",BJ601,0)</f>
        <v>0</v>
      </c>
      <c r="AI601" s="83" t="s">
        <v>66</v>
      </c>
      <c r="AJ601" s="64">
        <f>IF(AN601=0,L601,0)</f>
        <v>0</v>
      </c>
      <c r="AK601" s="64">
        <f>IF(AN601=15,L601,0)</f>
        <v>0</v>
      </c>
      <c r="AL601" s="64">
        <f>IF(AN601=21,L601,0)</f>
        <v>396</v>
      </c>
      <c r="AN601" s="35">
        <v>21</v>
      </c>
      <c r="AO601" s="35">
        <f>I601*0</f>
        <v>0</v>
      </c>
      <c r="AP601" s="35">
        <f>I601*(1-0)</f>
        <v>396</v>
      </c>
      <c r="AQ601" s="84" t="s">
        <v>144</v>
      </c>
      <c r="AV601" s="35">
        <f>AW601+AX601</f>
        <v>396</v>
      </c>
      <c r="AW601" s="35">
        <f>H601*AO601</f>
        <v>0</v>
      </c>
      <c r="AX601" s="35">
        <f>H601*AP601</f>
        <v>396</v>
      </c>
      <c r="AY601" s="86" t="s">
        <v>1043</v>
      </c>
      <c r="AZ601" s="86" t="s">
        <v>1071</v>
      </c>
      <c r="BA601" s="83" t="s">
        <v>1080</v>
      </c>
      <c r="BC601" s="35">
        <f>AW601+AX601</f>
        <v>396</v>
      </c>
      <c r="BD601" s="35">
        <f>I601/(100-BE601)*100</f>
        <v>396</v>
      </c>
      <c r="BE601" s="35">
        <v>0</v>
      </c>
      <c r="BF601" s="35">
        <f>601</f>
        <v>601</v>
      </c>
      <c r="BH601" s="64">
        <f>H601*AO601</f>
        <v>0</v>
      </c>
      <c r="BI601" s="64">
        <f>H601*AP601</f>
        <v>396</v>
      </c>
      <c r="BJ601" s="64">
        <f>H601*I601</f>
        <v>396</v>
      </c>
      <c r="BK601" s="64" t="s">
        <v>1086</v>
      </c>
      <c r="BL601" s="35">
        <v>724</v>
      </c>
    </row>
    <row r="602" spans="1:64" x14ac:dyDescent="0.2">
      <c r="A602" s="19"/>
      <c r="C602" s="59" t="s">
        <v>521</v>
      </c>
      <c r="D602" s="180" t="s">
        <v>875</v>
      </c>
      <c r="E602" s="181"/>
      <c r="F602" s="181"/>
      <c r="G602" s="181"/>
      <c r="H602" s="181"/>
      <c r="I602" s="182"/>
      <c r="J602" s="181"/>
      <c r="K602" s="181"/>
      <c r="L602" s="181"/>
      <c r="M602" s="183"/>
      <c r="N602" s="19"/>
    </row>
    <row r="603" spans="1:64" x14ac:dyDescent="0.2">
      <c r="A603" s="49" t="s">
        <v>416</v>
      </c>
      <c r="B603" s="57" t="s">
        <v>66</v>
      </c>
      <c r="C603" s="57" t="s">
        <v>757</v>
      </c>
      <c r="D603" s="186" t="s">
        <v>876</v>
      </c>
      <c r="E603" s="187"/>
      <c r="F603" s="187"/>
      <c r="G603" s="57" t="s">
        <v>1001</v>
      </c>
      <c r="H603" s="65">
        <v>11</v>
      </c>
      <c r="I603" s="73">
        <v>36</v>
      </c>
      <c r="J603" s="65">
        <f>H603*AO603</f>
        <v>396</v>
      </c>
      <c r="K603" s="65">
        <f>H603*AP603</f>
        <v>0</v>
      </c>
      <c r="L603" s="65">
        <f>H603*I603</f>
        <v>396</v>
      </c>
      <c r="M603" s="81"/>
      <c r="N603" s="19"/>
      <c r="Z603" s="35">
        <f>IF(AQ603="5",BJ603,0)</f>
        <v>0</v>
      </c>
      <c r="AB603" s="35">
        <f>IF(AQ603="1",BH603,0)</f>
        <v>0</v>
      </c>
      <c r="AC603" s="35">
        <f>IF(AQ603="1",BI603,0)</f>
        <v>0</v>
      </c>
      <c r="AD603" s="35">
        <f>IF(AQ603="7",BH603,0)</f>
        <v>396</v>
      </c>
      <c r="AE603" s="35">
        <f>IF(AQ603="7",BI603,0)</f>
        <v>0</v>
      </c>
      <c r="AF603" s="35">
        <f>IF(AQ603="2",BH603,0)</f>
        <v>0</v>
      </c>
      <c r="AG603" s="35">
        <f>IF(AQ603="2",BI603,0)</f>
        <v>0</v>
      </c>
      <c r="AH603" s="35">
        <f>IF(AQ603="0",BJ603,0)</f>
        <v>0</v>
      </c>
      <c r="AI603" s="83" t="s">
        <v>66</v>
      </c>
      <c r="AJ603" s="65">
        <f>IF(AN603=0,L603,0)</f>
        <v>0</v>
      </c>
      <c r="AK603" s="65">
        <f>IF(AN603=15,L603,0)</f>
        <v>0</v>
      </c>
      <c r="AL603" s="65">
        <f>IF(AN603=21,L603,0)</f>
        <v>396</v>
      </c>
      <c r="AN603" s="35">
        <v>21</v>
      </c>
      <c r="AO603" s="35">
        <f>I603*1</f>
        <v>36</v>
      </c>
      <c r="AP603" s="35">
        <f>I603*(1-1)</f>
        <v>0</v>
      </c>
      <c r="AQ603" s="85" t="s">
        <v>144</v>
      </c>
      <c r="AV603" s="35">
        <f>AW603+AX603</f>
        <v>396</v>
      </c>
      <c r="AW603" s="35">
        <f>H603*AO603</f>
        <v>396</v>
      </c>
      <c r="AX603" s="35">
        <f>H603*AP603</f>
        <v>0</v>
      </c>
      <c r="AY603" s="86" t="s">
        <v>1043</v>
      </c>
      <c r="AZ603" s="86" t="s">
        <v>1071</v>
      </c>
      <c r="BA603" s="83" t="s">
        <v>1080</v>
      </c>
      <c r="BC603" s="35">
        <f>AW603+AX603</f>
        <v>396</v>
      </c>
      <c r="BD603" s="35">
        <f>I603/(100-BE603)*100</f>
        <v>36</v>
      </c>
      <c r="BE603" s="35">
        <v>0</v>
      </c>
      <c r="BF603" s="35">
        <f>603</f>
        <v>603</v>
      </c>
      <c r="BH603" s="65">
        <f>H603*AO603</f>
        <v>396</v>
      </c>
      <c r="BI603" s="65">
        <f>H603*AP603</f>
        <v>0</v>
      </c>
      <c r="BJ603" s="65">
        <f>H603*I603</f>
        <v>396</v>
      </c>
      <c r="BK603" s="65" t="s">
        <v>1001</v>
      </c>
      <c r="BL603" s="35">
        <v>724</v>
      </c>
    </row>
    <row r="604" spans="1:64" x14ac:dyDescent="0.2">
      <c r="A604" s="19"/>
      <c r="C604" s="59" t="s">
        <v>521</v>
      </c>
      <c r="D604" s="180" t="s">
        <v>876</v>
      </c>
      <c r="E604" s="181"/>
      <c r="F604" s="181"/>
      <c r="G604" s="181"/>
      <c r="H604" s="181"/>
      <c r="I604" s="182"/>
      <c r="J604" s="181"/>
      <c r="K604" s="181"/>
      <c r="L604" s="181"/>
      <c r="M604" s="183"/>
      <c r="N604" s="19"/>
    </row>
    <row r="605" spans="1:64" x14ac:dyDescent="0.2">
      <c r="A605" s="47" t="s">
        <v>417</v>
      </c>
      <c r="B605" s="55" t="s">
        <v>66</v>
      </c>
      <c r="C605" s="55" t="s">
        <v>555</v>
      </c>
      <c r="D605" s="178" t="s">
        <v>877</v>
      </c>
      <c r="E605" s="179"/>
      <c r="F605" s="179"/>
      <c r="G605" s="55" t="s">
        <v>1000</v>
      </c>
      <c r="H605" s="64">
        <v>31.280999999999999</v>
      </c>
      <c r="I605" s="71">
        <v>1</v>
      </c>
      <c r="J605" s="64">
        <f>H605*AO605</f>
        <v>0</v>
      </c>
      <c r="K605" s="64">
        <f>H605*AP605</f>
        <v>31.280999999999999</v>
      </c>
      <c r="L605" s="64">
        <f>H605*I605</f>
        <v>31.280999999999999</v>
      </c>
      <c r="M605" s="79" t="s">
        <v>1020</v>
      </c>
      <c r="N605" s="19"/>
      <c r="Z605" s="35">
        <f>IF(AQ605="5",BJ605,0)</f>
        <v>0</v>
      </c>
      <c r="AB605" s="35">
        <f>IF(AQ605="1",BH605,0)</f>
        <v>0</v>
      </c>
      <c r="AC605" s="35">
        <f>IF(AQ605="1",BI605,0)</f>
        <v>0</v>
      </c>
      <c r="AD605" s="35">
        <f>IF(AQ605="7",BH605,0)</f>
        <v>0</v>
      </c>
      <c r="AE605" s="35">
        <f>IF(AQ605="7",BI605,0)</f>
        <v>31.280999999999999</v>
      </c>
      <c r="AF605" s="35">
        <f>IF(AQ605="2",BH605,0)</f>
        <v>0</v>
      </c>
      <c r="AG605" s="35">
        <f>IF(AQ605="2",BI605,0)</f>
        <v>0</v>
      </c>
      <c r="AH605" s="35">
        <f>IF(AQ605="0",BJ605,0)</f>
        <v>0</v>
      </c>
      <c r="AI605" s="83" t="s">
        <v>66</v>
      </c>
      <c r="AJ605" s="64">
        <f>IF(AN605=0,L605,0)</f>
        <v>0</v>
      </c>
      <c r="AK605" s="64">
        <f>IF(AN605=15,L605,0)</f>
        <v>0</v>
      </c>
      <c r="AL605" s="64">
        <f>IF(AN605=21,L605,0)</f>
        <v>31.280999999999999</v>
      </c>
      <c r="AN605" s="35">
        <v>21</v>
      </c>
      <c r="AO605" s="35">
        <f>I605*0</f>
        <v>0</v>
      </c>
      <c r="AP605" s="35">
        <f>I605*(1-0)</f>
        <v>1</v>
      </c>
      <c r="AQ605" s="84" t="s">
        <v>144</v>
      </c>
      <c r="AV605" s="35">
        <f>AW605+AX605</f>
        <v>31.280999999999999</v>
      </c>
      <c r="AW605" s="35">
        <f>H605*AO605</f>
        <v>0</v>
      </c>
      <c r="AX605" s="35">
        <f>H605*AP605</f>
        <v>31.280999999999999</v>
      </c>
      <c r="AY605" s="86" t="s">
        <v>1043</v>
      </c>
      <c r="AZ605" s="86" t="s">
        <v>1071</v>
      </c>
      <c r="BA605" s="83" t="s">
        <v>1080</v>
      </c>
      <c r="BC605" s="35">
        <f>AW605+AX605</f>
        <v>31.280999999999999</v>
      </c>
      <c r="BD605" s="35">
        <f>I605/(100-BE605)*100</f>
        <v>1</v>
      </c>
      <c r="BE605" s="35">
        <v>0</v>
      </c>
      <c r="BF605" s="35">
        <f>605</f>
        <v>605</v>
      </c>
      <c r="BH605" s="64">
        <f>H605*AO605</f>
        <v>0</v>
      </c>
      <c r="BI605" s="64">
        <f>H605*AP605</f>
        <v>31.280999999999999</v>
      </c>
      <c r="BJ605" s="64">
        <f>H605*I605</f>
        <v>31.280999999999999</v>
      </c>
      <c r="BK605" s="64" t="s">
        <v>1086</v>
      </c>
      <c r="BL605" s="35">
        <v>724</v>
      </c>
    </row>
    <row r="606" spans="1:64" x14ac:dyDescent="0.2">
      <c r="A606" s="19"/>
      <c r="C606" s="59" t="s">
        <v>521</v>
      </c>
      <c r="D606" s="180" t="s">
        <v>878</v>
      </c>
      <c r="E606" s="181"/>
      <c r="F606" s="181"/>
      <c r="G606" s="181"/>
      <c r="H606" s="181"/>
      <c r="I606" s="182"/>
      <c r="J606" s="181"/>
      <c r="K606" s="181"/>
      <c r="L606" s="181"/>
      <c r="M606" s="183"/>
      <c r="N606" s="19"/>
    </row>
    <row r="607" spans="1:64" x14ac:dyDescent="0.2">
      <c r="A607" s="46"/>
      <c r="B607" s="54" t="s">
        <v>66</v>
      </c>
      <c r="C607" s="54" t="s">
        <v>115</v>
      </c>
      <c r="D607" s="176" t="s">
        <v>134</v>
      </c>
      <c r="E607" s="177"/>
      <c r="F607" s="177"/>
      <c r="G607" s="61" t="s">
        <v>60</v>
      </c>
      <c r="H607" s="61" t="s">
        <v>60</v>
      </c>
      <c r="I607" s="70" t="s">
        <v>60</v>
      </c>
      <c r="J607" s="89">
        <f>SUM(J608:J614)</f>
        <v>1182</v>
      </c>
      <c r="K607" s="89">
        <f>SUM(K608:K614)</f>
        <v>304.94</v>
      </c>
      <c r="L607" s="89">
        <f>SUM(L608:L614)</f>
        <v>1486.94</v>
      </c>
      <c r="M607" s="78"/>
      <c r="N607" s="19"/>
      <c r="AI607" s="83" t="s">
        <v>66</v>
      </c>
      <c r="AS607" s="89">
        <f>SUM(AJ608:AJ614)</f>
        <v>0</v>
      </c>
      <c r="AT607" s="89">
        <f>SUM(AK608:AK614)</f>
        <v>0</v>
      </c>
      <c r="AU607" s="89">
        <f>SUM(AL608:AL614)</f>
        <v>1486.94</v>
      </c>
    </row>
    <row r="608" spans="1:64" x14ac:dyDescent="0.2">
      <c r="A608" s="47" t="s">
        <v>418</v>
      </c>
      <c r="B608" s="55" t="s">
        <v>66</v>
      </c>
      <c r="C608" s="55" t="s">
        <v>556</v>
      </c>
      <c r="D608" s="178" t="s">
        <v>879</v>
      </c>
      <c r="E608" s="179"/>
      <c r="F608" s="179"/>
      <c r="G608" s="55" t="s">
        <v>1003</v>
      </c>
      <c r="H608" s="64">
        <v>2</v>
      </c>
      <c r="I608" s="71">
        <v>144</v>
      </c>
      <c r="J608" s="64">
        <f>H608*AO608</f>
        <v>0</v>
      </c>
      <c r="K608" s="64">
        <f>H608*AP608</f>
        <v>288</v>
      </c>
      <c r="L608" s="64">
        <f>H608*I608</f>
        <v>288</v>
      </c>
      <c r="M608" s="79"/>
      <c r="N608" s="19"/>
      <c r="Z608" s="35">
        <f>IF(AQ608="5",BJ608,0)</f>
        <v>0</v>
      </c>
      <c r="AB608" s="35">
        <f>IF(AQ608="1",BH608,0)</f>
        <v>0</v>
      </c>
      <c r="AC608" s="35">
        <f>IF(AQ608="1",BI608,0)</f>
        <v>0</v>
      </c>
      <c r="AD608" s="35">
        <f>IF(AQ608="7",BH608,0)</f>
        <v>0</v>
      </c>
      <c r="AE608" s="35">
        <f>IF(AQ608="7",BI608,0)</f>
        <v>288</v>
      </c>
      <c r="AF608" s="35">
        <f>IF(AQ608="2",BH608,0)</f>
        <v>0</v>
      </c>
      <c r="AG608" s="35">
        <f>IF(AQ608="2",BI608,0)</f>
        <v>0</v>
      </c>
      <c r="AH608" s="35">
        <f>IF(AQ608="0",BJ608,0)</f>
        <v>0</v>
      </c>
      <c r="AI608" s="83" t="s">
        <v>66</v>
      </c>
      <c r="AJ608" s="64">
        <f>IF(AN608=0,L608,0)</f>
        <v>0</v>
      </c>
      <c r="AK608" s="64">
        <f>IF(AN608=15,L608,0)</f>
        <v>0</v>
      </c>
      <c r="AL608" s="64">
        <f>IF(AN608=21,L608,0)</f>
        <v>288</v>
      </c>
      <c r="AN608" s="35">
        <v>21</v>
      </c>
      <c r="AO608" s="35">
        <f>I608*0</f>
        <v>0</v>
      </c>
      <c r="AP608" s="35">
        <f>I608*(1-0)</f>
        <v>144</v>
      </c>
      <c r="AQ608" s="84" t="s">
        <v>144</v>
      </c>
      <c r="AV608" s="35">
        <f>AW608+AX608</f>
        <v>288</v>
      </c>
      <c r="AW608" s="35">
        <f>H608*AO608</f>
        <v>0</v>
      </c>
      <c r="AX608" s="35">
        <f>H608*AP608</f>
        <v>288</v>
      </c>
      <c r="AY608" s="86" t="s">
        <v>1044</v>
      </c>
      <c r="AZ608" s="86" t="s">
        <v>1071</v>
      </c>
      <c r="BA608" s="83" t="s">
        <v>1080</v>
      </c>
      <c r="BC608" s="35">
        <f>AW608+AX608</f>
        <v>288</v>
      </c>
      <c r="BD608" s="35">
        <f>I608/(100-BE608)*100</f>
        <v>144</v>
      </c>
      <c r="BE608" s="35">
        <v>0</v>
      </c>
      <c r="BF608" s="35">
        <f>608</f>
        <v>608</v>
      </c>
      <c r="BH608" s="64">
        <f>H608*AO608</f>
        <v>0</v>
      </c>
      <c r="BI608" s="64">
        <f>H608*AP608</f>
        <v>288</v>
      </c>
      <c r="BJ608" s="64">
        <f>H608*I608</f>
        <v>288</v>
      </c>
      <c r="BK608" s="64" t="s">
        <v>1086</v>
      </c>
      <c r="BL608" s="35">
        <v>725</v>
      </c>
    </row>
    <row r="609" spans="1:64" x14ac:dyDescent="0.2">
      <c r="A609" s="19"/>
      <c r="C609" s="59" t="s">
        <v>521</v>
      </c>
      <c r="D609" s="180" t="s">
        <v>879</v>
      </c>
      <c r="E609" s="181"/>
      <c r="F609" s="181"/>
      <c r="G609" s="181"/>
      <c r="H609" s="181"/>
      <c r="I609" s="182"/>
      <c r="J609" s="181"/>
      <c r="K609" s="181"/>
      <c r="L609" s="181"/>
      <c r="M609" s="183"/>
      <c r="N609" s="19"/>
    </row>
    <row r="610" spans="1:64" x14ac:dyDescent="0.2">
      <c r="A610" s="49" t="s">
        <v>419</v>
      </c>
      <c r="B610" s="57" t="s">
        <v>66</v>
      </c>
      <c r="C610" s="57" t="s">
        <v>758</v>
      </c>
      <c r="D610" s="186" t="s">
        <v>880</v>
      </c>
      <c r="E610" s="187"/>
      <c r="F610" s="187"/>
      <c r="G610" s="57" t="s">
        <v>1004</v>
      </c>
      <c r="H610" s="65">
        <v>2</v>
      </c>
      <c r="I610" s="73">
        <v>466</v>
      </c>
      <c r="J610" s="65">
        <f>H610*AO610</f>
        <v>932</v>
      </c>
      <c r="K610" s="65">
        <f>H610*AP610</f>
        <v>0</v>
      </c>
      <c r="L610" s="65">
        <f>H610*I610</f>
        <v>932</v>
      </c>
      <c r="M610" s="81"/>
      <c r="N610" s="19"/>
      <c r="Z610" s="35">
        <f>IF(AQ610="5",BJ610,0)</f>
        <v>0</v>
      </c>
      <c r="AB610" s="35">
        <f>IF(AQ610="1",BH610,0)</f>
        <v>0</v>
      </c>
      <c r="AC610" s="35">
        <f>IF(AQ610="1",BI610,0)</f>
        <v>0</v>
      </c>
      <c r="AD610" s="35">
        <f>IF(AQ610="7",BH610,0)</f>
        <v>932</v>
      </c>
      <c r="AE610" s="35">
        <f>IF(AQ610="7",BI610,0)</f>
        <v>0</v>
      </c>
      <c r="AF610" s="35">
        <f>IF(AQ610="2",BH610,0)</f>
        <v>0</v>
      </c>
      <c r="AG610" s="35">
        <f>IF(AQ610="2",BI610,0)</f>
        <v>0</v>
      </c>
      <c r="AH610" s="35">
        <f>IF(AQ610="0",BJ610,0)</f>
        <v>0</v>
      </c>
      <c r="AI610" s="83" t="s">
        <v>66</v>
      </c>
      <c r="AJ610" s="65">
        <f>IF(AN610=0,L610,0)</f>
        <v>0</v>
      </c>
      <c r="AK610" s="65">
        <f>IF(AN610=15,L610,0)</f>
        <v>0</v>
      </c>
      <c r="AL610" s="65">
        <f>IF(AN610=21,L610,0)</f>
        <v>932</v>
      </c>
      <c r="AN610" s="35">
        <v>21</v>
      </c>
      <c r="AO610" s="35">
        <f>I610*1</f>
        <v>466</v>
      </c>
      <c r="AP610" s="35">
        <f>I610*(1-1)</f>
        <v>0</v>
      </c>
      <c r="AQ610" s="85" t="s">
        <v>144</v>
      </c>
      <c r="AV610" s="35">
        <f>AW610+AX610</f>
        <v>932</v>
      </c>
      <c r="AW610" s="35">
        <f>H610*AO610</f>
        <v>932</v>
      </c>
      <c r="AX610" s="35">
        <f>H610*AP610</f>
        <v>0</v>
      </c>
      <c r="AY610" s="86" t="s">
        <v>1044</v>
      </c>
      <c r="AZ610" s="86" t="s">
        <v>1071</v>
      </c>
      <c r="BA610" s="83" t="s">
        <v>1080</v>
      </c>
      <c r="BC610" s="35">
        <f>AW610+AX610</f>
        <v>932</v>
      </c>
      <c r="BD610" s="35">
        <f>I610/(100-BE610)*100</f>
        <v>466</v>
      </c>
      <c r="BE610" s="35">
        <v>0</v>
      </c>
      <c r="BF610" s="35">
        <f>610</f>
        <v>610</v>
      </c>
      <c r="BH610" s="65">
        <f>H610*AO610</f>
        <v>932</v>
      </c>
      <c r="BI610" s="65">
        <f>H610*AP610</f>
        <v>0</v>
      </c>
      <c r="BJ610" s="65">
        <f>H610*I610</f>
        <v>932</v>
      </c>
      <c r="BK610" s="65" t="s">
        <v>1001</v>
      </c>
      <c r="BL610" s="35">
        <v>725</v>
      </c>
    </row>
    <row r="611" spans="1:64" x14ac:dyDescent="0.2">
      <c r="A611" s="19"/>
      <c r="C611" s="59" t="s">
        <v>521</v>
      </c>
      <c r="D611" s="180" t="s">
        <v>880</v>
      </c>
      <c r="E611" s="181"/>
      <c r="F611" s="181"/>
      <c r="G611" s="181"/>
      <c r="H611" s="181"/>
      <c r="I611" s="182"/>
      <c r="J611" s="181"/>
      <c r="K611" s="181"/>
      <c r="L611" s="181"/>
      <c r="M611" s="183"/>
      <c r="N611" s="19"/>
    </row>
    <row r="612" spans="1:64" x14ac:dyDescent="0.2">
      <c r="A612" s="47" t="s">
        <v>420</v>
      </c>
      <c r="B612" s="55" t="s">
        <v>66</v>
      </c>
      <c r="C612" s="55" t="s">
        <v>559</v>
      </c>
      <c r="D612" s="178" t="s">
        <v>882</v>
      </c>
      <c r="E612" s="179"/>
      <c r="F612" s="179"/>
      <c r="G612" s="55" t="s">
        <v>1000</v>
      </c>
      <c r="H612" s="64">
        <v>16.940000000000001</v>
      </c>
      <c r="I612" s="71">
        <v>1</v>
      </c>
      <c r="J612" s="64">
        <f>H612*AO612</f>
        <v>0</v>
      </c>
      <c r="K612" s="64">
        <f>H612*AP612</f>
        <v>16.940000000000001</v>
      </c>
      <c r="L612" s="64">
        <f>H612*I612</f>
        <v>16.940000000000001</v>
      </c>
      <c r="M612" s="79" t="s">
        <v>1020</v>
      </c>
      <c r="N612" s="19"/>
      <c r="Z612" s="35">
        <f>IF(AQ612="5",BJ612,0)</f>
        <v>0</v>
      </c>
      <c r="AB612" s="35">
        <f>IF(AQ612="1",BH612,0)</f>
        <v>0</v>
      </c>
      <c r="AC612" s="35">
        <f>IF(AQ612="1",BI612,0)</f>
        <v>0</v>
      </c>
      <c r="AD612" s="35">
        <f>IF(AQ612="7",BH612,0)</f>
        <v>0</v>
      </c>
      <c r="AE612" s="35">
        <f>IF(AQ612="7",BI612,0)</f>
        <v>16.940000000000001</v>
      </c>
      <c r="AF612" s="35">
        <f>IF(AQ612="2",BH612,0)</f>
        <v>0</v>
      </c>
      <c r="AG612" s="35">
        <f>IF(AQ612="2",BI612,0)</f>
        <v>0</v>
      </c>
      <c r="AH612" s="35">
        <f>IF(AQ612="0",BJ612,0)</f>
        <v>0</v>
      </c>
      <c r="AI612" s="83" t="s">
        <v>66</v>
      </c>
      <c r="AJ612" s="64">
        <f>IF(AN612=0,L612,0)</f>
        <v>0</v>
      </c>
      <c r="AK612" s="64">
        <f>IF(AN612=15,L612,0)</f>
        <v>0</v>
      </c>
      <c r="AL612" s="64">
        <f>IF(AN612=21,L612,0)</f>
        <v>16.940000000000001</v>
      </c>
      <c r="AN612" s="35">
        <v>21</v>
      </c>
      <c r="AO612" s="35">
        <f>I612*0</f>
        <v>0</v>
      </c>
      <c r="AP612" s="35">
        <f>I612*(1-0)</f>
        <v>1</v>
      </c>
      <c r="AQ612" s="84" t="s">
        <v>144</v>
      </c>
      <c r="AV612" s="35">
        <f>AW612+AX612</f>
        <v>16.940000000000001</v>
      </c>
      <c r="AW612" s="35">
        <f>H612*AO612</f>
        <v>0</v>
      </c>
      <c r="AX612" s="35">
        <f>H612*AP612</f>
        <v>16.940000000000001</v>
      </c>
      <c r="AY612" s="86" t="s">
        <v>1044</v>
      </c>
      <c r="AZ612" s="86" t="s">
        <v>1071</v>
      </c>
      <c r="BA612" s="83" t="s">
        <v>1080</v>
      </c>
      <c r="BC612" s="35">
        <f>AW612+AX612</f>
        <v>16.940000000000001</v>
      </c>
      <c r="BD612" s="35">
        <f>I612/(100-BE612)*100</f>
        <v>1</v>
      </c>
      <c r="BE612" s="35">
        <v>0</v>
      </c>
      <c r="BF612" s="35">
        <f>612</f>
        <v>612</v>
      </c>
      <c r="BH612" s="64">
        <f>H612*AO612</f>
        <v>0</v>
      </c>
      <c r="BI612" s="64">
        <f>H612*AP612</f>
        <v>16.940000000000001</v>
      </c>
      <c r="BJ612" s="64">
        <f>H612*I612</f>
        <v>16.940000000000001</v>
      </c>
      <c r="BK612" s="64" t="s">
        <v>1086</v>
      </c>
      <c r="BL612" s="35">
        <v>725</v>
      </c>
    </row>
    <row r="613" spans="1:64" x14ac:dyDescent="0.2">
      <c r="A613" s="19"/>
      <c r="C613" s="59" t="s">
        <v>521</v>
      </c>
      <c r="D613" s="180" t="s">
        <v>883</v>
      </c>
      <c r="E613" s="181"/>
      <c r="F613" s="181"/>
      <c r="G613" s="181"/>
      <c r="H613" s="181"/>
      <c r="I613" s="182"/>
      <c r="J613" s="181"/>
      <c r="K613" s="181"/>
      <c r="L613" s="181"/>
      <c r="M613" s="183"/>
      <c r="N613" s="19"/>
    </row>
    <row r="614" spans="1:64" x14ac:dyDescent="0.2">
      <c r="A614" s="49" t="s">
        <v>421</v>
      </c>
      <c r="B614" s="57" t="s">
        <v>66</v>
      </c>
      <c r="C614" s="57" t="s">
        <v>759</v>
      </c>
      <c r="D614" s="186" t="s">
        <v>884</v>
      </c>
      <c r="E614" s="187"/>
      <c r="F614" s="187"/>
      <c r="G614" s="57" t="s">
        <v>1001</v>
      </c>
      <c r="H614" s="65">
        <v>5</v>
      </c>
      <c r="I614" s="73">
        <v>50</v>
      </c>
      <c r="J614" s="65">
        <f>H614*AO614</f>
        <v>250</v>
      </c>
      <c r="K614" s="65">
        <f>H614*AP614</f>
        <v>0</v>
      </c>
      <c r="L614" s="65">
        <f>H614*I614</f>
        <v>250</v>
      </c>
      <c r="M614" s="81"/>
      <c r="N614" s="19"/>
      <c r="Z614" s="35">
        <f>IF(AQ614="5",BJ614,0)</f>
        <v>0</v>
      </c>
      <c r="AB614" s="35">
        <f>IF(AQ614="1",BH614,0)</f>
        <v>0</v>
      </c>
      <c r="AC614" s="35">
        <f>IF(AQ614="1",BI614,0)</f>
        <v>0</v>
      </c>
      <c r="AD614" s="35">
        <f>IF(AQ614="7",BH614,0)</f>
        <v>250</v>
      </c>
      <c r="AE614" s="35">
        <f>IF(AQ614="7",BI614,0)</f>
        <v>0</v>
      </c>
      <c r="AF614" s="35">
        <f>IF(AQ614="2",BH614,0)</f>
        <v>0</v>
      </c>
      <c r="AG614" s="35">
        <f>IF(AQ614="2",BI614,0)</f>
        <v>0</v>
      </c>
      <c r="AH614" s="35">
        <f>IF(AQ614="0",BJ614,0)</f>
        <v>0</v>
      </c>
      <c r="AI614" s="83" t="s">
        <v>66</v>
      </c>
      <c r="AJ614" s="65">
        <f>IF(AN614=0,L614,0)</f>
        <v>0</v>
      </c>
      <c r="AK614" s="65">
        <f>IF(AN614=15,L614,0)</f>
        <v>0</v>
      </c>
      <c r="AL614" s="65">
        <f>IF(AN614=21,L614,0)</f>
        <v>250</v>
      </c>
      <c r="AN614" s="35">
        <v>21</v>
      </c>
      <c r="AO614" s="35">
        <f>I614*1</f>
        <v>50</v>
      </c>
      <c r="AP614" s="35">
        <f>I614*(1-1)</f>
        <v>0</v>
      </c>
      <c r="AQ614" s="85" t="s">
        <v>144</v>
      </c>
      <c r="AV614" s="35">
        <f>AW614+AX614</f>
        <v>250</v>
      </c>
      <c r="AW614" s="35">
        <f>H614*AO614</f>
        <v>250</v>
      </c>
      <c r="AX614" s="35">
        <f>H614*AP614</f>
        <v>0</v>
      </c>
      <c r="AY614" s="86" t="s">
        <v>1044</v>
      </c>
      <c r="AZ614" s="86" t="s">
        <v>1071</v>
      </c>
      <c r="BA614" s="83" t="s">
        <v>1080</v>
      </c>
      <c r="BC614" s="35">
        <f>AW614+AX614</f>
        <v>250</v>
      </c>
      <c r="BD614" s="35">
        <f>I614/(100-BE614)*100</f>
        <v>50</v>
      </c>
      <c r="BE614" s="35">
        <v>0</v>
      </c>
      <c r="BF614" s="35">
        <f>614</f>
        <v>614</v>
      </c>
      <c r="BH614" s="65">
        <f>H614*AO614</f>
        <v>250</v>
      </c>
      <c r="BI614" s="65">
        <f>H614*AP614</f>
        <v>0</v>
      </c>
      <c r="BJ614" s="65">
        <f>H614*I614</f>
        <v>250</v>
      </c>
      <c r="BK614" s="65" t="s">
        <v>1001</v>
      </c>
      <c r="BL614" s="35">
        <v>725</v>
      </c>
    </row>
    <row r="615" spans="1:64" x14ac:dyDescent="0.2">
      <c r="A615" s="19"/>
      <c r="C615" s="59" t="s">
        <v>521</v>
      </c>
      <c r="D615" s="180" t="s">
        <v>884</v>
      </c>
      <c r="E615" s="181"/>
      <c r="F615" s="181"/>
      <c r="G615" s="181"/>
      <c r="H615" s="181"/>
      <c r="I615" s="182"/>
      <c r="J615" s="181"/>
      <c r="K615" s="181"/>
      <c r="L615" s="181"/>
      <c r="M615" s="183"/>
      <c r="N615" s="19"/>
    </row>
    <row r="616" spans="1:64" x14ac:dyDescent="0.2">
      <c r="A616" s="46"/>
      <c r="B616" s="54" t="s">
        <v>66</v>
      </c>
      <c r="C616" s="54" t="s">
        <v>116</v>
      </c>
      <c r="D616" s="176" t="s">
        <v>135</v>
      </c>
      <c r="E616" s="177"/>
      <c r="F616" s="177"/>
      <c r="G616" s="61" t="s">
        <v>60</v>
      </c>
      <c r="H616" s="61" t="s">
        <v>60</v>
      </c>
      <c r="I616" s="70" t="s">
        <v>60</v>
      </c>
      <c r="J616" s="89">
        <f>SUM(J617:J641)</f>
        <v>172565</v>
      </c>
      <c r="K616" s="89">
        <f>SUM(K617:K641)</f>
        <v>6366.92</v>
      </c>
      <c r="L616" s="89">
        <f>SUM(L617:L641)</f>
        <v>178931.92</v>
      </c>
      <c r="M616" s="78"/>
      <c r="N616" s="19"/>
      <c r="AI616" s="83" t="s">
        <v>66</v>
      </c>
      <c r="AS616" s="89">
        <f>SUM(AJ617:AJ641)</f>
        <v>0</v>
      </c>
      <c r="AT616" s="89">
        <f>SUM(AK617:AK641)</f>
        <v>0</v>
      </c>
      <c r="AU616" s="89">
        <f>SUM(AL617:AL641)</f>
        <v>178931.92</v>
      </c>
    </row>
    <row r="617" spans="1:64" x14ac:dyDescent="0.2">
      <c r="A617" s="47" t="s">
        <v>422</v>
      </c>
      <c r="B617" s="55" t="s">
        <v>66</v>
      </c>
      <c r="C617" s="55" t="s">
        <v>760</v>
      </c>
      <c r="D617" s="178" t="s">
        <v>885</v>
      </c>
      <c r="E617" s="179"/>
      <c r="F617" s="179"/>
      <c r="G617" s="55" t="s">
        <v>1002</v>
      </c>
      <c r="H617" s="64">
        <v>1</v>
      </c>
      <c r="I617" s="71">
        <v>504</v>
      </c>
      <c r="J617" s="64">
        <f>H617*AO617</f>
        <v>0</v>
      </c>
      <c r="K617" s="64">
        <f>H617*AP617</f>
        <v>504</v>
      </c>
      <c r="L617" s="64">
        <f>H617*I617</f>
        <v>504</v>
      </c>
      <c r="M617" s="79"/>
      <c r="N617" s="19"/>
      <c r="Z617" s="35">
        <f>IF(AQ617="5",BJ617,0)</f>
        <v>0</v>
      </c>
      <c r="AB617" s="35">
        <f>IF(AQ617="1",BH617,0)</f>
        <v>0</v>
      </c>
      <c r="AC617" s="35">
        <f>IF(AQ617="1",BI617,0)</f>
        <v>0</v>
      </c>
      <c r="AD617" s="35">
        <f>IF(AQ617="7",BH617,0)</f>
        <v>0</v>
      </c>
      <c r="AE617" s="35">
        <f>IF(AQ617="7",BI617,0)</f>
        <v>504</v>
      </c>
      <c r="AF617" s="35">
        <f>IF(AQ617="2",BH617,0)</f>
        <v>0</v>
      </c>
      <c r="AG617" s="35">
        <f>IF(AQ617="2",BI617,0)</f>
        <v>0</v>
      </c>
      <c r="AH617" s="35">
        <f>IF(AQ617="0",BJ617,0)</f>
        <v>0</v>
      </c>
      <c r="AI617" s="83" t="s">
        <v>66</v>
      </c>
      <c r="AJ617" s="64">
        <f>IF(AN617=0,L617,0)</f>
        <v>0</v>
      </c>
      <c r="AK617" s="64">
        <f>IF(AN617=15,L617,0)</f>
        <v>0</v>
      </c>
      <c r="AL617" s="64">
        <f>IF(AN617=21,L617,0)</f>
        <v>504</v>
      </c>
      <c r="AN617" s="35">
        <v>21</v>
      </c>
      <c r="AO617" s="35">
        <f>I617*0</f>
        <v>0</v>
      </c>
      <c r="AP617" s="35">
        <f>I617*(1-0)</f>
        <v>504</v>
      </c>
      <c r="AQ617" s="84" t="s">
        <v>144</v>
      </c>
      <c r="AV617" s="35">
        <f>AW617+AX617</f>
        <v>504</v>
      </c>
      <c r="AW617" s="35">
        <f>H617*AO617</f>
        <v>0</v>
      </c>
      <c r="AX617" s="35">
        <f>H617*AP617</f>
        <v>504</v>
      </c>
      <c r="AY617" s="86" t="s">
        <v>1045</v>
      </c>
      <c r="AZ617" s="86" t="s">
        <v>1072</v>
      </c>
      <c r="BA617" s="83" t="s">
        <v>1080</v>
      </c>
      <c r="BC617" s="35">
        <f>AW617+AX617</f>
        <v>504</v>
      </c>
      <c r="BD617" s="35">
        <f>I617/(100-BE617)*100</f>
        <v>504</v>
      </c>
      <c r="BE617" s="35">
        <v>0</v>
      </c>
      <c r="BF617" s="35">
        <f>617</f>
        <v>617</v>
      </c>
      <c r="BH617" s="64">
        <f>H617*AO617</f>
        <v>0</v>
      </c>
      <c r="BI617" s="64">
        <f>H617*AP617</f>
        <v>504</v>
      </c>
      <c r="BJ617" s="64">
        <f>H617*I617</f>
        <v>504</v>
      </c>
      <c r="BK617" s="64" t="s">
        <v>1086</v>
      </c>
      <c r="BL617" s="35">
        <v>741</v>
      </c>
    </row>
    <row r="618" spans="1:64" x14ac:dyDescent="0.2">
      <c r="A618" s="19"/>
      <c r="C618" s="59" t="s">
        <v>521</v>
      </c>
      <c r="D618" s="180" t="s">
        <v>885</v>
      </c>
      <c r="E618" s="181"/>
      <c r="F618" s="181"/>
      <c r="G618" s="181"/>
      <c r="H618" s="181"/>
      <c r="I618" s="182"/>
      <c r="J618" s="181"/>
      <c r="K618" s="181"/>
      <c r="L618" s="181"/>
      <c r="M618" s="183"/>
      <c r="N618" s="19"/>
    </row>
    <row r="619" spans="1:64" x14ac:dyDescent="0.2">
      <c r="A619" s="49" t="s">
        <v>423</v>
      </c>
      <c r="B619" s="57" t="s">
        <v>66</v>
      </c>
      <c r="C619" s="57" t="s">
        <v>761</v>
      </c>
      <c r="D619" s="186" t="s">
        <v>886</v>
      </c>
      <c r="E619" s="187"/>
      <c r="F619" s="187"/>
      <c r="G619" s="57" t="s">
        <v>1004</v>
      </c>
      <c r="H619" s="65">
        <v>1</v>
      </c>
      <c r="I619" s="73">
        <v>5760</v>
      </c>
      <c r="J619" s="65">
        <f>H619*AO619</f>
        <v>5760</v>
      </c>
      <c r="K619" s="65">
        <f>H619*AP619</f>
        <v>0</v>
      </c>
      <c r="L619" s="65">
        <f>H619*I619</f>
        <v>5760</v>
      </c>
      <c r="M619" s="81"/>
      <c r="N619" s="19"/>
      <c r="Z619" s="35">
        <f>IF(AQ619="5",BJ619,0)</f>
        <v>0</v>
      </c>
      <c r="AB619" s="35">
        <f>IF(AQ619="1",BH619,0)</f>
        <v>0</v>
      </c>
      <c r="AC619" s="35">
        <f>IF(AQ619="1",BI619,0)</f>
        <v>0</v>
      </c>
      <c r="AD619" s="35">
        <f>IF(AQ619="7",BH619,0)</f>
        <v>5760</v>
      </c>
      <c r="AE619" s="35">
        <f>IF(AQ619="7",BI619,0)</f>
        <v>0</v>
      </c>
      <c r="AF619" s="35">
        <f>IF(AQ619="2",BH619,0)</f>
        <v>0</v>
      </c>
      <c r="AG619" s="35">
        <f>IF(AQ619="2",BI619,0)</f>
        <v>0</v>
      </c>
      <c r="AH619" s="35">
        <f>IF(AQ619="0",BJ619,0)</f>
        <v>0</v>
      </c>
      <c r="AI619" s="83" t="s">
        <v>66</v>
      </c>
      <c r="AJ619" s="65">
        <f>IF(AN619=0,L619,0)</f>
        <v>0</v>
      </c>
      <c r="AK619" s="65">
        <f>IF(AN619=15,L619,0)</f>
        <v>0</v>
      </c>
      <c r="AL619" s="65">
        <f>IF(AN619=21,L619,0)</f>
        <v>5760</v>
      </c>
      <c r="AN619" s="35">
        <v>21</v>
      </c>
      <c r="AO619" s="35">
        <f>I619*1</f>
        <v>5760</v>
      </c>
      <c r="AP619" s="35">
        <f>I619*(1-1)</f>
        <v>0</v>
      </c>
      <c r="AQ619" s="85" t="s">
        <v>144</v>
      </c>
      <c r="AV619" s="35">
        <f>AW619+AX619</f>
        <v>5760</v>
      </c>
      <c r="AW619" s="35">
        <f>H619*AO619</f>
        <v>5760</v>
      </c>
      <c r="AX619" s="35">
        <f>H619*AP619</f>
        <v>0</v>
      </c>
      <c r="AY619" s="86" t="s">
        <v>1045</v>
      </c>
      <c r="AZ619" s="86" t="s">
        <v>1072</v>
      </c>
      <c r="BA619" s="83" t="s">
        <v>1080</v>
      </c>
      <c r="BC619" s="35">
        <f>AW619+AX619</f>
        <v>5760</v>
      </c>
      <c r="BD619" s="35">
        <f>I619/(100-BE619)*100</f>
        <v>5760</v>
      </c>
      <c r="BE619" s="35">
        <v>0</v>
      </c>
      <c r="BF619" s="35">
        <f>619</f>
        <v>619</v>
      </c>
      <c r="BH619" s="65">
        <f>H619*AO619</f>
        <v>5760</v>
      </c>
      <c r="BI619" s="65">
        <f>H619*AP619</f>
        <v>0</v>
      </c>
      <c r="BJ619" s="65">
        <f>H619*I619</f>
        <v>5760</v>
      </c>
      <c r="BK619" s="65" t="s">
        <v>1001</v>
      </c>
      <c r="BL619" s="35">
        <v>741</v>
      </c>
    </row>
    <row r="620" spans="1:64" x14ac:dyDescent="0.2">
      <c r="A620" s="19"/>
      <c r="C620" s="59" t="s">
        <v>521</v>
      </c>
      <c r="D620" s="180" t="s">
        <v>886</v>
      </c>
      <c r="E620" s="181"/>
      <c r="F620" s="181"/>
      <c r="G620" s="181"/>
      <c r="H620" s="181"/>
      <c r="I620" s="182"/>
      <c r="J620" s="181"/>
      <c r="K620" s="181"/>
      <c r="L620" s="181"/>
      <c r="M620" s="183"/>
      <c r="N620" s="19"/>
    </row>
    <row r="621" spans="1:64" x14ac:dyDescent="0.2">
      <c r="A621" s="47" t="s">
        <v>424</v>
      </c>
      <c r="B621" s="55" t="s">
        <v>66</v>
      </c>
      <c r="C621" s="55" t="s">
        <v>762</v>
      </c>
      <c r="D621" s="178" t="s">
        <v>887</v>
      </c>
      <c r="E621" s="179"/>
      <c r="F621" s="179"/>
      <c r="G621" s="55" t="s">
        <v>1002</v>
      </c>
      <c r="H621" s="64">
        <v>1</v>
      </c>
      <c r="I621" s="71">
        <v>396</v>
      </c>
      <c r="J621" s="64">
        <f>H621*AO621</f>
        <v>0</v>
      </c>
      <c r="K621" s="64">
        <f>H621*AP621</f>
        <v>396</v>
      </c>
      <c r="L621" s="64">
        <f>H621*I621</f>
        <v>396</v>
      </c>
      <c r="M621" s="79"/>
      <c r="N621" s="19"/>
      <c r="Z621" s="35">
        <f>IF(AQ621="5",BJ621,0)</f>
        <v>0</v>
      </c>
      <c r="AB621" s="35">
        <f>IF(AQ621="1",BH621,0)</f>
        <v>0</v>
      </c>
      <c r="AC621" s="35">
        <f>IF(AQ621="1",BI621,0)</f>
        <v>0</v>
      </c>
      <c r="AD621" s="35">
        <f>IF(AQ621="7",BH621,0)</f>
        <v>0</v>
      </c>
      <c r="AE621" s="35">
        <f>IF(AQ621="7",BI621,0)</f>
        <v>396</v>
      </c>
      <c r="AF621" s="35">
        <f>IF(AQ621="2",BH621,0)</f>
        <v>0</v>
      </c>
      <c r="AG621" s="35">
        <f>IF(AQ621="2",BI621,0)</f>
        <v>0</v>
      </c>
      <c r="AH621" s="35">
        <f>IF(AQ621="0",BJ621,0)</f>
        <v>0</v>
      </c>
      <c r="AI621" s="83" t="s">
        <v>66</v>
      </c>
      <c r="AJ621" s="64">
        <f>IF(AN621=0,L621,0)</f>
        <v>0</v>
      </c>
      <c r="AK621" s="64">
        <f>IF(AN621=15,L621,0)</f>
        <v>0</v>
      </c>
      <c r="AL621" s="64">
        <f>IF(AN621=21,L621,0)</f>
        <v>396</v>
      </c>
      <c r="AN621" s="35">
        <v>21</v>
      </c>
      <c r="AO621" s="35">
        <f>I621*0</f>
        <v>0</v>
      </c>
      <c r="AP621" s="35">
        <f>I621*(1-0)</f>
        <v>396</v>
      </c>
      <c r="AQ621" s="84" t="s">
        <v>144</v>
      </c>
      <c r="AV621" s="35">
        <f>AW621+AX621</f>
        <v>396</v>
      </c>
      <c r="AW621" s="35">
        <f>H621*AO621</f>
        <v>0</v>
      </c>
      <c r="AX621" s="35">
        <f>H621*AP621</f>
        <v>396</v>
      </c>
      <c r="AY621" s="86" t="s">
        <v>1045</v>
      </c>
      <c r="AZ621" s="86" t="s">
        <v>1072</v>
      </c>
      <c r="BA621" s="83" t="s">
        <v>1080</v>
      </c>
      <c r="BC621" s="35">
        <f>AW621+AX621</f>
        <v>396</v>
      </c>
      <c r="BD621" s="35">
        <f>I621/(100-BE621)*100</f>
        <v>396</v>
      </c>
      <c r="BE621" s="35">
        <v>0</v>
      </c>
      <c r="BF621" s="35">
        <f>621</f>
        <v>621</v>
      </c>
      <c r="BH621" s="64">
        <f>H621*AO621</f>
        <v>0</v>
      </c>
      <c r="BI621" s="64">
        <f>H621*AP621</f>
        <v>396</v>
      </c>
      <c r="BJ621" s="64">
        <f>H621*I621</f>
        <v>396</v>
      </c>
      <c r="BK621" s="64" t="s">
        <v>1086</v>
      </c>
      <c r="BL621" s="35">
        <v>741</v>
      </c>
    </row>
    <row r="622" spans="1:64" x14ac:dyDescent="0.2">
      <c r="A622" s="19"/>
      <c r="C622" s="59" t="s">
        <v>521</v>
      </c>
      <c r="D622" s="180" t="s">
        <v>887</v>
      </c>
      <c r="E622" s="181"/>
      <c r="F622" s="181"/>
      <c r="G622" s="181"/>
      <c r="H622" s="181"/>
      <c r="I622" s="182"/>
      <c r="J622" s="181"/>
      <c r="K622" s="181"/>
      <c r="L622" s="181"/>
      <c r="M622" s="183"/>
      <c r="N622" s="19"/>
    </row>
    <row r="623" spans="1:64" x14ac:dyDescent="0.2">
      <c r="A623" s="49" t="s">
        <v>425</v>
      </c>
      <c r="B623" s="57" t="s">
        <v>66</v>
      </c>
      <c r="C623" s="57" t="s">
        <v>763</v>
      </c>
      <c r="D623" s="186" t="s">
        <v>888</v>
      </c>
      <c r="E623" s="187"/>
      <c r="F623" s="187"/>
      <c r="G623" s="57" t="s">
        <v>1001</v>
      </c>
      <c r="H623" s="65">
        <v>5</v>
      </c>
      <c r="I623" s="73">
        <v>7</v>
      </c>
      <c r="J623" s="65">
        <f>H623*AO623</f>
        <v>35</v>
      </c>
      <c r="K623" s="65">
        <f>H623*AP623</f>
        <v>0</v>
      </c>
      <c r="L623" s="65">
        <f>H623*I623</f>
        <v>35</v>
      </c>
      <c r="M623" s="81"/>
      <c r="N623" s="19"/>
      <c r="Z623" s="35">
        <f>IF(AQ623="5",BJ623,0)</f>
        <v>0</v>
      </c>
      <c r="AB623" s="35">
        <f>IF(AQ623="1",BH623,0)</f>
        <v>0</v>
      </c>
      <c r="AC623" s="35">
        <f>IF(AQ623="1",BI623,0)</f>
        <v>0</v>
      </c>
      <c r="AD623" s="35">
        <f>IF(AQ623="7",BH623,0)</f>
        <v>35</v>
      </c>
      <c r="AE623" s="35">
        <f>IF(AQ623="7",BI623,0)</f>
        <v>0</v>
      </c>
      <c r="AF623" s="35">
        <f>IF(AQ623="2",BH623,0)</f>
        <v>0</v>
      </c>
      <c r="AG623" s="35">
        <f>IF(AQ623="2",BI623,0)</f>
        <v>0</v>
      </c>
      <c r="AH623" s="35">
        <f>IF(AQ623="0",BJ623,0)</f>
        <v>0</v>
      </c>
      <c r="AI623" s="83" t="s">
        <v>66</v>
      </c>
      <c r="AJ623" s="65">
        <f>IF(AN623=0,L623,0)</f>
        <v>0</v>
      </c>
      <c r="AK623" s="65">
        <f>IF(AN623=15,L623,0)</f>
        <v>0</v>
      </c>
      <c r="AL623" s="65">
        <f>IF(AN623=21,L623,0)</f>
        <v>35</v>
      </c>
      <c r="AN623" s="35">
        <v>21</v>
      </c>
      <c r="AO623" s="35">
        <f>I623*1</f>
        <v>7</v>
      </c>
      <c r="AP623" s="35">
        <f>I623*(1-1)</f>
        <v>0</v>
      </c>
      <c r="AQ623" s="85" t="s">
        <v>144</v>
      </c>
      <c r="AV623" s="35">
        <f>AW623+AX623</f>
        <v>35</v>
      </c>
      <c r="AW623" s="35">
        <f>H623*AO623</f>
        <v>35</v>
      </c>
      <c r="AX623" s="35">
        <f>H623*AP623</f>
        <v>0</v>
      </c>
      <c r="AY623" s="86" t="s">
        <v>1045</v>
      </c>
      <c r="AZ623" s="86" t="s">
        <v>1072</v>
      </c>
      <c r="BA623" s="83" t="s">
        <v>1080</v>
      </c>
      <c r="BC623" s="35">
        <f>AW623+AX623</f>
        <v>35</v>
      </c>
      <c r="BD623" s="35">
        <f>I623/(100-BE623)*100</f>
        <v>7.0000000000000009</v>
      </c>
      <c r="BE623" s="35">
        <v>0</v>
      </c>
      <c r="BF623" s="35">
        <f>623</f>
        <v>623</v>
      </c>
      <c r="BH623" s="65">
        <f>H623*AO623</f>
        <v>35</v>
      </c>
      <c r="BI623" s="65">
        <f>H623*AP623</f>
        <v>0</v>
      </c>
      <c r="BJ623" s="65">
        <f>H623*I623</f>
        <v>35</v>
      </c>
      <c r="BK623" s="65" t="s">
        <v>1001</v>
      </c>
      <c r="BL623" s="35">
        <v>741</v>
      </c>
    </row>
    <row r="624" spans="1:64" x14ac:dyDescent="0.2">
      <c r="A624" s="19"/>
      <c r="C624" s="59" t="s">
        <v>521</v>
      </c>
      <c r="D624" s="180" t="s">
        <v>888</v>
      </c>
      <c r="E624" s="181"/>
      <c r="F624" s="181"/>
      <c r="G624" s="181"/>
      <c r="H624" s="181"/>
      <c r="I624" s="182"/>
      <c r="J624" s="181"/>
      <c r="K624" s="181"/>
      <c r="L624" s="181"/>
      <c r="M624" s="183"/>
      <c r="N624" s="19"/>
    </row>
    <row r="625" spans="1:64" x14ac:dyDescent="0.2">
      <c r="A625" s="47" t="s">
        <v>426</v>
      </c>
      <c r="B625" s="55" t="s">
        <v>66</v>
      </c>
      <c r="C625" s="55" t="s">
        <v>764</v>
      </c>
      <c r="D625" s="178" t="s">
        <v>881</v>
      </c>
      <c r="E625" s="179"/>
      <c r="F625" s="179"/>
      <c r="G625" s="55" t="s">
        <v>1002</v>
      </c>
      <c r="H625" s="64">
        <v>5</v>
      </c>
      <c r="I625" s="71">
        <v>504</v>
      </c>
      <c r="J625" s="64">
        <f>H625*AO625</f>
        <v>0</v>
      </c>
      <c r="K625" s="64">
        <f>H625*AP625</f>
        <v>2520</v>
      </c>
      <c r="L625" s="64">
        <f>H625*I625</f>
        <v>2520</v>
      </c>
      <c r="M625" s="79"/>
      <c r="N625" s="19"/>
      <c r="Z625" s="35">
        <f>IF(AQ625="5",BJ625,0)</f>
        <v>0</v>
      </c>
      <c r="AB625" s="35">
        <f>IF(AQ625="1",BH625,0)</f>
        <v>0</v>
      </c>
      <c r="AC625" s="35">
        <f>IF(AQ625="1",BI625,0)</f>
        <v>0</v>
      </c>
      <c r="AD625" s="35">
        <f>IF(AQ625="7",BH625,0)</f>
        <v>0</v>
      </c>
      <c r="AE625" s="35">
        <f>IF(AQ625="7",BI625,0)</f>
        <v>2520</v>
      </c>
      <c r="AF625" s="35">
        <f>IF(AQ625="2",BH625,0)</f>
        <v>0</v>
      </c>
      <c r="AG625" s="35">
        <f>IF(AQ625="2",BI625,0)</f>
        <v>0</v>
      </c>
      <c r="AH625" s="35">
        <f>IF(AQ625="0",BJ625,0)</f>
        <v>0</v>
      </c>
      <c r="AI625" s="83" t="s">
        <v>66</v>
      </c>
      <c r="AJ625" s="64">
        <f>IF(AN625=0,L625,0)</f>
        <v>0</v>
      </c>
      <c r="AK625" s="64">
        <f>IF(AN625=15,L625,0)</f>
        <v>0</v>
      </c>
      <c r="AL625" s="64">
        <f>IF(AN625=21,L625,0)</f>
        <v>2520</v>
      </c>
      <c r="AN625" s="35">
        <v>21</v>
      </c>
      <c r="AO625" s="35">
        <f>I625*0</f>
        <v>0</v>
      </c>
      <c r="AP625" s="35">
        <f>I625*(1-0)</f>
        <v>504</v>
      </c>
      <c r="AQ625" s="84" t="s">
        <v>144</v>
      </c>
      <c r="AV625" s="35">
        <f>AW625+AX625</f>
        <v>2520</v>
      </c>
      <c r="AW625" s="35">
        <f>H625*AO625</f>
        <v>0</v>
      </c>
      <c r="AX625" s="35">
        <f>H625*AP625</f>
        <v>2520</v>
      </c>
      <c r="AY625" s="86" t="s">
        <v>1045</v>
      </c>
      <c r="AZ625" s="86" t="s">
        <v>1072</v>
      </c>
      <c r="BA625" s="83" t="s">
        <v>1080</v>
      </c>
      <c r="BC625" s="35">
        <f>AW625+AX625</f>
        <v>2520</v>
      </c>
      <c r="BD625" s="35">
        <f>I625/(100-BE625)*100</f>
        <v>504</v>
      </c>
      <c r="BE625" s="35">
        <v>0</v>
      </c>
      <c r="BF625" s="35">
        <f>625</f>
        <v>625</v>
      </c>
      <c r="BH625" s="64">
        <f>H625*AO625</f>
        <v>0</v>
      </c>
      <c r="BI625" s="64">
        <f>H625*AP625</f>
        <v>2520</v>
      </c>
      <c r="BJ625" s="64">
        <f>H625*I625</f>
        <v>2520</v>
      </c>
      <c r="BK625" s="64" t="s">
        <v>1086</v>
      </c>
      <c r="BL625" s="35">
        <v>741</v>
      </c>
    </row>
    <row r="626" spans="1:64" x14ac:dyDescent="0.2">
      <c r="A626" s="19"/>
      <c r="C626" s="59" t="s">
        <v>521</v>
      </c>
      <c r="D626" s="180" t="s">
        <v>881</v>
      </c>
      <c r="E626" s="181"/>
      <c r="F626" s="181"/>
      <c r="G626" s="181"/>
      <c r="H626" s="181"/>
      <c r="I626" s="182"/>
      <c r="J626" s="181"/>
      <c r="K626" s="181"/>
      <c r="L626" s="181"/>
      <c r="M626" s="183"/>
      <c r="N626" s="19"/>
    </row>
    <row r="627" spans="1:64" x14ac:dyDescent="0.2">
      <c r="A627" s="49" t="s">
        <v>427</v>
      </c>
      <c r="B627" s="57" t="s">
        <v>66</v>
      </c>
      <c r="C627" s="57" t="s">
        <v>765</v>
      </c>
      <c r="D627" s="186" t="s">
        <v>889</v>
      </c>
      <c r="E627" s="187"/>
      <c r="F627" s="187"/>
      <c r="G627" s="57" t="s">
        <v>1005</v>
      </c>
      <c r="H627" s="65">
        <v>4</v>
      </c>
      <c r="I627" s="73">
        <v>9</v>
      </c>
      <c r="J627" s="65">
        <f>H627*AO627</f>
        <v>36</v>
      </c>
      <c r="K627" s="65">
        <f>H627*AP627</f>
        <v>0</v>
      </c>
      <c r="L627" s="65">
        <f>H627*I627</f>
        <v>36</v>
      </c>
      <c r="M627" s="81"/>
      <c r="N627" s="19"/>
      <c r="Z627" s="35">
        <f>IF(AQ627="5",BJ627,0)</f>
        <v>0</v>
      </c>
      <c r="AB627" s="35">
        <f>IF(AQ627="1",BH627,0)</f>
        <v>0</v>
      </c>
      <c r="AC627" s="35">
        <f>IF(AQ627="1",BI627,0)</f>
        <v>0</v>
      </c>
      <c r="AD627" s="35">
        <f>IF(AQ627="7",BH627,0)</f>
        <v>36</v>
      </c>
      <c r="AE627" s="35">
        <f>IF(AQ627="7",BI627,0)</f>
        <v>0</v>
      </c>
      <c r="AF627" s="35">
        <f>IF(AQ627="2",BH627,0)</f>
        <v>0</v>
      </c>
      <c r="AG627" s="35">
        <f>IF(AQ627="2",BI627,0)</f>
        <v>0</v>
      </c>
      <c r="AH627" s="35">
        <f>IF(AQ627="0",BJ627,0)</f>
        <v>0</v>
      </c>
      <c r="AI627" s="83" t="s">
        <v>66</v>
      </c>
      <c r="AJ627" s="65">
        <f>IF(AN627=0,L627,0)</f>
        <v>0</v>
      </c>
      <c r="AK627" s="65">
        <f>IF(AN627=15,L627,0)</f>
        <v>0</v>
      </c>
      <c r="AL627" s="65">
        <f>IF(AN627=21,L627,0)</f>
        <v>36</v>
      </c>
      <c r="AN627" s="35">
        <v>21</v>
      </c>
      <c r="AO627" s="35">
        <f>I627*1</f>
        <v>9</v>
      </c>
      <c r="AP627" s="35">
        <f>I627*(1-1)</f>
        <v>0</v>
      </c>
      <c r="AQ627" s="85" t="s">
        <v>144</v>
      </c>
      <c r="AV627" s="35">
        <f>AW627+AX627</f>
        <v>36</v>
      </c>
      <c r="AW627" s="35">
        <f>H627*AO627</f>
        <v>36</v>
      </c>
      <c r="AX627" s="35">
        <f>H627*AP627</f>
        <v>0</v>
      </c>
      <c r="AY627" s="86" t="s">
        <v>1045</v>
      </c>
      <c r="AZ627" s="86" t="s">
        <v>1072</v>
      </c>
      <c r="BA627" s="83" t="s">
        <v>1080</v>
      </c>
      <c r="BC627" s="35">
        <f>AW627+AX627</f>
        <v>36</v>
      </c>
      <c r="BD627" s="35">
        <f>I627/(100-BE627)*100</f>
        <v>9</v>
      </c>
      <c r="BE627" s="35">
        <v>0</v>
      </c>
      <c r="BF627" s="35">
        <f>627</f>
        <v>627</v>
      </c>
      <c r="BH627" s="65">
        <f>H627*AO627</f>
        <v>36</v>
      </c>
      <c r="BI627" s="65">
        <f>H627*AP627</f>
        <v>0</v>
      </c>
      <c r="BJ627" s="65">
        <f>H627*I627</f>
        <v>36</v>
      </c>
      <c r="BK627" s="65" t="s">
        <v>1001</v>
      </c>
      <c r="BL627" s="35">
        <v>741</v>
      </c>
    </row>
    <row r="628" spans="1:64" x14ac:dyDescent="0.2">
      <c r="A628" s="19"/>
      <c r="C628" s="59" t="s">
        <v>521</v>
      </c>
      <c r="D628" s="180" t="s">
        <v>889</v>
      </c>
      <c r="E628" s="181"/>
      <c r="F628" s="181"/>
      <c r="G628" s="181"/>
      <c r="H628" s="181"/>
      <c r="I628" s="182"/>
      <c r="J628" s="181"/>
      <c r="K628" s="181"/>
      <c r="L628" s="181"/>
      <c r="M628" s="183"/>
      <c r="N628" s="19"/>
    </row>
    <row r="629" spans="1:64" x14ac:dyDescent="0.2">
      <c r="A629" s="47" t="s">
        <v>428</v>
      </c>
      <c r="B629" s="55" t="s">
        <v>66</v>
      </c>
      <c r="C629" s="55" t="s">
        <v>766</v>
      </c>
      <c r="D629" s="178" t="s">
        <v>890</v>
      </c>
      <c r="E629" s="179"/>
      <c r="F629" s="179"/>
      <c r="G629" s="55" t="s">
        <v>1002</v>
      </c>
      <c r="H629" s="64">
        <v>4</v>
      </c>
      <c r="I629" s="71">
        <v>468</v>
      </c>
      <c r="J629" s="64">
        <f>H629*AO629</f>
        <v>0</v>
      </c>
      <c r="K629" s="64">
        <f>H629*AP629</f>
        <v>1872</v>
      </c>
      <c r="L629" s="64">
        <f>H629*I629</f>
        <v>1872</v>
      </c>
      <c r="M629" s="79"/>
      <c r="N629" s="19"/>
      <c r="Z629" s="35">
        <f>IF(AQ629="5",BJ629,0)</f>
        <v>0</v>
      </c>
      <c r="AB629" s="35">
        <f>IF(AQ629="1",BH629,0)</f>
        <v>0</v>
      </c>
      <c r="AC629" s="35">
        <f>IF(AQ629="1",BI629,0)</f>
        <v>0</v>
      </c>
      <c r="AD629" s="35">
        <f>IF(AQ629="7",BH629,0)</f>
        <v>0</v>
      </c>
      <c r="AE629" s="35">
        <f>IF(AQ629="7",BI629,0)</f>
        <v>1872</v>
      </c>
      <c r="AF629" s="35">
        <f>IF(AQ629="2",BH629,0)</f>
        <v>0</v>
      </c>
      <c r="AG629" s="35">
        <f>IF(AQ629="2",BI629,0)</f>
        <v>0</v>
      </c>
      <c r="AH629" s="35">
        <f>IF(AQ629="0",BJ629,0)</f>
        <v>0</v>
      </c>
      <c r="AI629" s="83" t="s">
        <v>66</v>
      </c>
      <c r="AJ629" s="64">
        <f>IF(AN629=0,L629,0)</f>
        <v>0</v>
      </c>
      <c r="AK629" s="64">
        <f>IF(AN629=15,L629,0)</f>
        <v>0</v>
      </c>
      <c r="AL629" s="64">
        <f>IF(AN629=21,L629,0)</f>
        <v>1872</v>
      </c>
      <c r="AN629" s="35">
        <v>21</v>
      </c>
      <c r="AO629" s="35">
        <f>I629*0</f>
        <v>0</v>
      </c>
      <c r="AP629" s="35">
        <f>I629*(1-0)</f>
        <v>468</v>
      </c>
      <c r="AQ629" s="84" t="s">
        <v>144</v>
      </c>
      <c r="AV629" s="35">
        <f>AW629+AX629</f>
        <v>1872</v>
      </c>
      <c r="AW629" s="35">
        <f>H629*AO629</f>
        <v>0</v>
      </c>
      <c r="AX629" s="35">
        <f>H629*AP629</f>
        <v>1872</v>
      </c>
      <c r="AY629" s="86" t="s">
        <v>1045</v>
      </c>
      <c r="AZ629" s="86" t="s">
        <v>1072</v>
      </c>
      <c r="BA629" s="83" t="s">
        <v>1080</v>
      </c>
      <c r="BC629" s="35">
        <f>AW629+AX629</f>
        <v>1872</v>
      </c>
      <c r="BD629" s="35">
        <f>I629/(100-BE629)*100</f>
        <v>468</v>
      </c>
      <c r="BE629" s="35">
        <v>0</v>
      </c>
      <c r="BF629" s="35">
        <f>629</f>
        <v>629</v>
      </c>
      <c r="BH629" s="64">
        <f>H629*AO629</f>
        <v>0</v>
      </c>
      <c r="BI629" s="64">
        <f>H629*AP629</f>
        <v>1872</v>
      </c>
      <c r="BJ629" s="64">
        <f>H629*I629</f>
        <v>1872</v>
      </c>
      <c r="BK629" s="64" t="s">
        <v>1086</v>
      </c>
      <c r="BL629" s="35">
        <v>741</v>
      </c>
    </row>
    <row r="630" spans="1:64" x14ac:dyDescent="0.2">
      <c r="A630" s="19"/>
      <c r="C630" s="59" t="s">
        <v>521</v>
      </c>
      <c r="D630" s="180" t="s">
        <v>890</v>
      </c>
      <c r="E630" s="181"/>
      <c r="F630" s="181"/>
      <c r="G630" s="181"/>
      <c r="H630" s="181"/>
      <c r="I630" s="182"/>
      <c r="J630" s="181"/>
      <c r="K630" s="181"/>
      <c r="L630" s="181"/>
      <c r="M630" s="183"/>
      <c r="N630" s="19"/>
    </row>
    <row r="631" spans="1:64" x14ac:dyDescent="0.2">
      <c r="A631" s="49" t="s">
        <v>429</v>
      </c>
      <c r="B631" s="57" t="s">
        <v>66</v>
      </c>
      <c r="C631" s="57" t="s">
        <v>767</v>
      </c>
      <c r="D631" s="186" t="s">
        <v>891</v>
      </c>
      <c r="E631" s="187"/>
      <c r="F631" s="187"/>
      <c r="G631" s="57" t="s">
        <v>1001</v>
      </c>
      <c r="H631" s="65">
        <v>2</v>
      </c>
      <c r="I631" s="73">
        <v>32</v>
      </c>
      <c r="J631" s="65">
        <f>H631*AO631</f>
        <v>64</v>
      </c>
      <c r="K631" s="65">
        <f>H631*AP631</f>
        <v>0</v>
      </c>
      <c r="L631" s="65">
        <f>H631*I631</f>
        <v>64</v>
      </c>
      <c r="M631" s="81"/>
      <c r="N631" s="19"/>
      <c r="Z631" s="35">
        <f>IF(AQ631="5",BJ631,0)</f>
        <v>0</v>
      </c>
      <c r="AB631" s="35">
        <f>IF(AQ631="1",BH631,0)</f>
        <v>0</v>
      </c>
      <c r="AC631" s="35">
        <f>IF(AQ631="1",BI631,0)</f>
        <v>0</v>
      </c>
      <c r="AD631" s="35">
        <f>IF(AQ631="7",BH631,0)</f>
        <v>64</v>
      </c>
      <c r="AE631" s="35">
        <f>IF(AQ631="7",BI631,0)</f>
        <v>0</v>
      </c>
      <c r="AF631" s="35">
        <f>IF(AQ631="2",BH631,0)</f>
        <v>0</v>
      </c>
      <c r="AG631" s="35">
        <f>IF(AQ631="2",BI631,0)</f>
        <v>0</v>
      </c>
      <c r="AH631" s="35">
        <f>IF(AQ631="0",BJ631,0)</f>
        <v>0</v>
      </c>
      <c r="AI631" s="83" t="s">
        <v>66</v>
      </c>
      <c r="AJ631" s="65">
        <f>IF(AN631=0,L631,0)</f>
        <v>0</v>
      </c>
      <c r="AK631" s="65">
        <f>IF(AN631=15,L631,0)</f>
        <v>0</v>
      </c>
      <c r="AL631" s="65">
        <f>IF(AN631=21,L631,0)</f>
        <v>64</v>
      </c>
      <c r="AN631" s="35">
        <v>21</v>
      </c>
      <c r="AO631" s="35">
        <f>I631*1</f>
        <v>32</v>
      </c>
      <c r="AP631" s="35">
        <f>I631*(1-1)</f>
        <v>0</v>
      </c>
      <c r="AQ631" s="85" t="s">
        <v>144</v>
      </c>
      <c r="AV631" s="35">
        <f>AW631+AX631</f>
        <v>64</v>
      </c>
      <c r="AW631" s="35">
        <f>H631*AO631</f>
        <v>64</v>
      </c>
      <c r="AX631" s="35">
        <f>H631*AP631</f>
        <v>0</v>
      </c>
      <c r="AY631" s="86" t="s">
        <v>1045</v>
      </c>
      <c r="AZ631" s="86" t="s">
        <v>1072</v>
      </c>
      <c r="BA631" s="83" t="s">
        <v>1080</v>
      </c>
      <c r="BC631" s="35">
        <f>AW631+AX631</f>
        <v>64</v>
      </c>
      <c r="BD631" s="35">
        <f>I631/(100-BE631)*100</f>
        <v>32</v>
      </c>
      <c r="BE631" s="35">
        <v>0</v>
      </c>
      <c r="BF631" s="35">
        <f>631</f>
        <v>631</v>
      </c>
      <c r="BH631" s="65">
        <f>H631*AO631</f>
        <v>64</v>
      </c>
      <c r="BI631" s="65">
        <f>H631*AP631</f>
        <v>0</v>
      </c>
      <c r="BJ631" s="65">
        <f>H631*I631</f>
        <v>64</v>
      </c>
      <c r="BK631" s="65" t="s">
        <v>1001</v>
      </c>
      <c r="BL631" s="35">
        <v>741</v>
      </c>
    </row>
    <row r="632" spans="1:64" x14ac:dyDescent="0.2">
      <c r="A632" s="19"/>
      <c r="C632" s="59" t="s">
        <v>521</v>
      </c>
      <c r="D632" s="180" t="s">
        <v>891</v>
      </c>
      <c r="E632" s="181"/>
      <c r="F632" s="181"/>
      <c r="G632" s="181"/>
      <c r="H632" s="181"/>
      <c r="I632" s="182"/>
      <c r="J632" s="181"/>
      <c r="K632" s="181"/>
      <c r="L632" s="181"/>
      <c r="M632" s="183"/>
      <c r="N632" s="19"/>
    </row>
    <row r="633" spans="1:64" x14ac:dyDescent="0.2">
      <c r="A633" s="47" t="s">
        <v>430</v>
      </c>
      <c r="B633" s="55" t="s">
        <v>66</v>
      </c>
      <c r="C633" s="55" t="s">
        <v>768</v>
      </c>
      <c r="D633" s="178" t="s">
        <v>892</v>
      </c>
      <c r="E633" s="179"/>
      <c r="F633" s="179"/>
      <c r="G633" s="55" t="s">
        <v>1002</v>
      </c>
      <c r="H633" s="64">
        <v>1</v>
      </c>
      <c r="I633" s="71">
        <v>396</v>
      </c>
      <c r="J633" s="64">
        <f>H633*AO633</f>
        <v>0</v>
      </c>
      <c r="K633" s="64">
        <f>H633*AP633</f>
        <v>396</v>
      </c>
      <c r="L633" s="64">
        <f>H633*I633</f>
        <v>396</v>
      </c>
      <c r="M633" s="79"/>
      <c r="N633" s="19"/>
      <c r="Z633" s="35">
        <f>IF(AQ633="5",BJ633,0)</f>
        <v>0</v>
      </c>
      <c r="AB633" s="35">
        <f>IF(AQ633="1",BH633,0)</f>
        <v>0</v>
      </c>
      <c r="AC633" s="35">
        <f>IF(AQ633="1",BI633,0)</f>
        <v>0</v>
      </c>
      <c r="AD633" s="35">
        <f>IF(AQ633="7",BH633,0)</f>
        <v>0</v>
      </c>
      <c r="AE633" s="35">
        <f>IF(AQ633="7",BI633,0)</f>
        <v>396</v>
      </c>
      <c r="AF633" s="35">
        <f>IF(AQ633="2",BH633,0)</f>
        <v>0</v>
      </c>
      <c r="AG633" s="35">
        <f>IF(AQ633="2",BI633,0)</f>
        <v>0</v>
      </c>
      <c r="AH633" s="35">
        <f>IF(AQ633="0",BJ633,0)</f>
        <v>0</v>
      </c>
      <c r="AI633" s="83" t="s">
        <v>66</v>
      </c>
      <c r="AJ633" s="64">
        <f>IF(AN633=0,L633,0)</f>
        <v>0</v>
      </c>
      <c r="AK633" s="64">
        <f>IF(AN633=15,L633,0)</f>
        <v>0</v>
      </c>
      <c r="AL633" s="64">
        <f>IF(AN633=21,L633,0)</f>
        <v>396</v>
      </c>
      <c r="AN633" s="35">
        <v>21</v>
      </c>
      <c r="AO633" s="35">
        <f>I633*0</f>
        <v>0</v>
      </c>
      <c r="AP633" s="35">
        <f>I633*(1-0)</f>
        <v>396</v>
      </c>
      <c r="AQ633" s="84" t="s">
        <v>144</v>
      </c>
      <c r="AV633" s="35">
        <f>AW633+AX633</f>
        <v>396</v>
      </c>
      <c r="AW633" s="35">
        <f>H633*AO633</f>
        <v>0</v>
      </c>
      <c r="AX633" s="35">
        <f>H633*AP633</f>
        <v>396</v>
      </c>
      <c r="AY633" s="86" t="s">
        <v>1045</v>
      </c>
      <c r="AZ633" s="86" t="s">
        <v>1072</v>
      </c>
      <c r="BA633" s="83" t="s">
        <v>1080</v>
      </c>
      <c r="BC633" s="35">
        <f>AW633+AX633</f>
        <v>396</v>
      </c>
      <c r="BD633" s="35">
        <f>I633/(100-BE633)*100</f>
        <v>396</v>
      </c>
      <c r="BE633" s="35">
        <v>0</v>
      </c>
      <c r="BF633" s="35">
        <f>633</f>
        <v>633</v>
      </c>
      <c r="BH633" s="64">
        <f>H633*AO633</f>
        <v>0</v>
      </c>
      <c r="BI633" s="64">
        <f>H633*AP633</f>
        <v>396</v>
      </c>
      <c r="BJ633" s="64">
        <f>H633*I633</f>
        <v>396</v>
      </c>
      <c r="BK633" s="64" t="s">
        <v>1086</v>
      </c>
      <c r="BL633" s="35">
        <v>741</v>
      </c>
    </row>
    <row r="634" spans="1:64" x14ac:dyDescent="0.2">
      <c r="A634" s="19"/>
      <c r="C634" s="59" t="s">
        <v>521</v>
      </c>
      <c r="D634" s="180" t="s">
        <v>893</v>
      </c>
      <c r="E634" s="181"/>
      <c r="F634" s="181"/>
      <c r="G634" s="181"/>
      <c r="H634" s="181"/>
      <c r="I634" s="182"/>
      <c r="J634" s="181"/>
      <c r="K634" s="181"/>
      <c r="L634" s="181"/>
      <c r="M634" s="183"/>
      <c r="N634" s="19"/>
    </row>
    <row r="635" spans="1:64" x14ac:dyDescent="0.2">
      <c r="A635" s="49" t="s">
        <v>431</v>
      </c>
      <c r="B635" s="57" t="s">
        <v>66</v>
      </c>
      <c r="C635" s="57" t="s">
        <v>769</v>
      </c>
      <c r="D635" s="186" t="s">
        <v>894</v>
      </c>
      <c r="E635" s="187"/>
      <c r="F635" s="187"/>
      <c r="G635" s="57" t="s">
        <v>1001</v>
      </c>
      <c r="H635" s="65">
        <v>5</v>
      </c>
      <c r="I635" s="73">
        <v>50</v>
      </c>
      <c r="J635" s="65">
        <f>H635*AO635</f>
        <v>250</v>
      </c>
      <c r="K635" s="65">
        <f>H635*AP635</f>
        <v>0</v>
      </c>
      <c r="L635" s="65">
        <f>H635*I635</f>
        <v>250</v>
      </c>
      <c r="M635" s="81"/>
      <c r="N635" s="19"/>
      <c r="Z635" s="35">
        <f>IF(AQ635="5",BJ635,0)</f>
        <v>0</v>
      </c>
      <c r="AB635" s="35">
        <f>IF(AQ635="1",BH635,0)</f>
        <v>0</v>
      </c>
      <c r="AC635" s="35">
        <f>IF(AQ635="1",BI635,0)</f>
        <v>0</v>
      </c>
      <c r="AD635" s="35">
        <f>IF(AQ635="7",BH635,0)</f>
        <v>250</v>
      </c>
      <c r="AE635" s="35">
        <f>IF(AQ635="7",BI635,0)</f>
        <v>0</v>
      </c>
      <c r="AF635" s="35">
        <f>IF(AQ635="2",BH635,0)</f>
        <v>0</v>
      </c>
      <c r="AG635" s="35">
        <f>IF(AQ635="2",BI635,0)</f>
        <v>0</v>
      </c>
      <c r="AH635" s="35">
        <f>IF(AQ635="0",BJ635,0)</f>
        <v>0</v>
      </c>
      <c r="AI635" s="83" t="s">
        <v>66</v>
      </c>
      <c r="AJ635" s="65">
        <f>IF(AN635=0,L635,0)</f>
        <v>0</v>
      </c>
      <c r="AK635" s="65">
        <f>IF(AN635=15,L635,0)</f>
        <v>0</v>
      </c>
      <c r="AL635" s="65">
        <f>IF(AN635=21,L635,0)</f>
        <v>250</v>
      </c>
      <c r="AN635" s="35">
        <v>21</v>
      </c>
      <c r="AO635" s="35">
        <f>I635*1</f>
        <v>50</v>
      </c>
      <c r="AP635" s="35">
        <f>I635*(1-1)</f>
        <v>0</v>
      </c>
      <c r="AQ635" s="85" t="s">
        <v>144</v>
      </c>
      <c r="AV635" s="35">
        <f>AW635+AX635</f>
        <v>250</v>
      </c>
      <c r="AW635" s="35">
        <f>H635*AO635</f>
        <v>250</v>
      </c>
      <c r="AX635" s="35">
        <f>H635*AP635</f>
        <v>0</v>
      </c>
      <c r="AY635" s="86" t="s">
        <v>1045</v>
      </c>
      <c r="AZ635" s="86" t="s">
        <v>1072</v>
      </c>
      <c r="BA635" s="83" t="s">
        <v>1080</v>
      </c>
      <c r="BC635" s="35">
        <f>AW635+AX635</f>
        <v>250</v>
      </c>
      <c r="BD635" s="35">
        <f>I635/(100-BE635)*100</f>
        <v>50</v>
      </c>
      <c r="BE635" s="35">
        <v>0</v>
      </c>
      <c r="BF635" s="35">
        <f>635</f>
        <v>635</v>
      </c>
      <c r="BH635" s="65">
        <f>H635*AO635</f>
        <v>250</v>
      </c>
      <c r="BI635" s="65">
        <f>H635*AP635</f>
        <v>0</v>
      </c>
      <c r="BJ635" s="65">
        <f>H635*I635</f>
        <v>250</v>
      </c>
      <c r="BK635" s="65" t="s">
        <v>1001</v>
      </c>
      <c r="BL635" s="35">
        <v>741</v>
      </c>
    </row>
    <row r="636" spans="1:64" x14ac:dyDescent="0.2">
      <c r="A636" s="19"/>
      <c r="C636" s="59" t="s">
        <v>521</v>
      </c>
      <c r="D636" s="180" t="s">
        <v>894</v>
      </c>
      <c r="E636" s="181"/>
      <c r="F636" s="181"/>
      <c r="G636" s="181"/>
      <c r="H636" s="181"/>
      <c r="I636" s="182"/>
      <c r="J636" s="181"/>
      <c r="K636" s="181"/>
      <c r="L636" s="181"/>
      <c r="M636" s="183"/>
      <c r="N636" s="19"/>
    </row>
    <row r="637" spans="1:64" x14ac:dyDescent="0.2">
      <c r="A637" s="47" t="s">
        <v>432</v>
      </c>
      <c r="B637" s="55" t="s">
        <v>66</v>
      </c>
      <c r="C637" s="55" t="s">
        <v>770</v>
      </c>
      <c r="D637" s="178" t="s">
        <v>895</v>
      </c>
      <c r="E637" s="179"/>
      <c r="F637" s="179"/>
      <c r="G637" s="55" t="s">
        <v>1002</v>
      </c>
      <c r="H637" s="64">
        <v>1</v>
      </c>
      <c r="I637" s="71">
        <v>504</v>
      </c>
      <c r="J637" s="64">
        <f>H637*AO637</f>
        <v>0</v>
      </c>
      <c r="K637" s="64">
        <f>H637*AP637</f>
        <v>504</v>
      </c>
      <c r="L637" s="64">
        <f>H637*I637</f>
        <v>504</v>
      </c>
      <c r="M637" s="79"/>
      <c r="N637" s="19"/>
      <c r="Z637" s="35">
        <f>IF(AQ637="5",BJ637,0)</f>
        <v>0</v>
      </c>
      <c r="AB637" s="35">
        <f>IF(AQ637="1",BH637,0)</f>
        <v>0</v>
      </c>
      <c r="AC637" s="35">
        <f>IF(AQ637="1",BI637,0)</f>
        <v>0</v>
      </c>
      <c r="AD637" s="35">
        <f>IF(AQ637="7",BH637,0)</f>
        <v>0</v>
      </c>
      <c r="AE637" s="35">
        <f>IF(AQ637="7",BI637,0)</f>
        <v>504</v>
      </c>
      <c r="AF637" s="35">
        <f>IF(AQ637="2",BH637,0)</f>
        <v>0</v>
      </c>
      <c r="AG637" s="35">
        <f>IF(AQ637="2",BI637,0)</f>
        <v>0</v>
      </c>
      <c r="AH637" s="35">
        <f>IF(AQ637="0",BJ637,0)</f>
        <v>0</v>
      </c>
      <c r="AI637" s="83" t="s">
        <v>66</v>
      </c>
      <c r="AJ637" s="64">
        <f>IF(AN637=0,L637,0)</f>
        <v>0</v>
      </c>
      <c r="AK637" s="64">
        <f>IF(AN637=15,L637,0)</f>
        <v>0</v>
      </c>
      <c r="AL637" s="64">
        <f>IF(AN637=21,L637,0)</f>
        <v>504</v>
      </c>
      <c r="AN637" s="35">
        <v>21</v>
      </c>
      <c r="AO637" s="35">
        <f>I637*0</f>
        <v>0</v>
      </c>
      <c r="AP637" s="35">
        <f>I637*(1-0)</f>
        <v>504</v>
      </c>
      <c r="AQ637" s="84" t="s">
        <v>144</v>
      </c>
      <c r="AV637" s="35">
        <f>AW637+AX637</f>
        <v>504</v>
      </c>
      <c r="AW637" s="35">
        <f>H637*AO637</f>
        <v>0</v>
      </c>
      <c r="AX637" s="35">
        <f>H637*AP637</f>
        <v>504</v>
      </c>
      <c r="AY637" s="86" t="s">
        <v>1045</v>
      </c>
      <c r="AZ637" s="86" t="s">
        <v>1072</v>
      </c>
      <c r="BA637" s="83" t="s">
        <v>1080</v>
      </c>
      <c r="BC637" s="35">
        <f>AW637+AX637</f>
        <v>504</v>
      </c>
      <c r="BD637" s="35">
        <f>I637/(100-BE637)*100</f>
        <v>504</v>
      </c>
      <c r="BE637" s="35">
        <v>0</v>
      </c>
      <c r="BF637" s="35">
        <f>637</f>
        <v>637</v>
      </c>
      <c r="BH637" s="64">
        <f>H637*AO637</f>
        <v>0</v>
      </c>
      <c r="BI637" s="64">
        <f>H637*AP637</f>
        <v>504</v>
      </c>
      <c r="BJ637" s="64">
        <f>H637*I637</f>
        <v>504</v>
      </c>
      <c r="BK637" s="64" t="s">
        <v>1086</v>
      </c>
      <c r="BL637" s="35">
        <v>741</v>
      </c>
    </row>
    <row r="638" spans="1:64" x14ac:dyDescent="0.2">
      <c r="A638" s="19"/>
      <c r="C638" s="59" t="s">
        <v>521</v>
      </c>
      <c r="D638" s="180" t="s">
        <v>895</v>
      </c>
      <c r="E638" s="181"/>
      <c r="F638" s="181"/>
      <c r="G638" s="181"/>
      <c r="H638" s="181"/>
      <c r="I638" s="182"/>
      <c r="J638" s="181"/>
      <c r="K638" s="181"/>
      <c r="L638" s="181"/>
      <c r="M638" s="183"/>
      <c r="N638" s="19"/>
    </row>
    <row r="639" spans="1:64" x14ac:dyDescent="0.2">
      <c r="A639" s="47" t="s">
        <v>433</v>
      </c>
      <c r="B639" s="55" t="s">
        <v>66</v>
      </c>
      <c r="C639" s="55" t="s">
        <v>571</v>
      </c>
      <c r="D639" s="178" t="s">
        <v>896</v>
      </c>
      <c r="E639" s="179"/>
      <c r="F639" s="179"/>
      <c r="G639" s="55" t="s">
        <v>1000</v>
      </c>
      <c r="H639" s="64">
        <v>174.92</v>
      </c>
      <c r="I639" s="71">
        <v>1</v>
      </c>
      <c r="J639" s="64">
        <f>H639*AO639</f>
        <v>0</v>
      </c>
      <c r="K639" s="64">
        <f>H639*AP639</f>
        <v>174.92</v>
      </c>
      <c r="L639" s="64">
        <f>H639*I639</f>
        <v>174.92</v>
      </c>
      <c r="M639" s="79" t="s">
        <v>1021</v>
      </c>
      <c r="N639" s="19"/>
      <c r="Z639" s="35">
        <f>IF(AQ639="5",BJ639,0)</f>
        <v>0</v>
      </c>
      <c r="AB639" s="35">
        <f>IF(AQ639="1",BH639,0)</f>
        <v>0</v>
      </c>
      <c r="AC639" s="35">
        <f>IF(AQ639="1",BI639,0)</f>
        <v>0</v>
      </c>
      <c r="AD639" s="35">
        <f>IF(AQ639="7",BH639,0)</f>
        <v>0</v>
      </c>
      <c r="AE639" s="35">
        <f>IF(AQ639="7",BI639,0)</f>
        <v>174.92</v>
      </c>
      <c r="AF639" s="35">
        <f>IF(AQ639="2",BH639,0)</f>
        <v>0</v>
      </c>
      <c r="AG639" s="35">
        <f>IF(AQ639="2",BI639,0)</f>
        <v>0</v>
      </c>
      <c r="AH639" s="35">
        <f>IF(AQ639="0",BJ639,0)</f>
        <v>0</v>
      </c>
      <c r="AI639" s="83" t="s">
        <v>66</v>
      </c>
      <c r="AJ639" s="64">
        <f>IF(AN639=0,L639,0)</f>
        <v>0</v>
      </c>
      <c r="AK639" s="64">
        <f>IF(AN639=15,L639,0)</f>
        <v>0</v>
      </c>
      <c r="AL639" s="64">
        <f>IF(AN639=21,L639,0)</f>
        <v>174.92</v>
      </c>
      <c r="AN639" s="35">
        <v>21</v>
      </c>
      <c r="AO639" s="35">
        <f>I639*0</f>
        <v>0</v>
      </c>
      <c r="AP639" s="35">
        <f>I639*(1-0)</f>
        <v>1</v>
      </c>
      <c r="AQ639" s="84" t="s">
        <v>144</v>
      </c>
      <c r="AV639" s="35">
        <f>AW639+AX639</f>
        <v>174.92</v>
      </c>
      <c r="AW639" s="35">
        <f>H639*AO639</f>
        <v>0</v>
      </c>
      <c r="AX639" s="35">
        <f>H639*AP639</f>
        <v>174.92</v>
      </c>
      <c r="AY639" s="86" t="s">
        <v>1045</v>
      </c>
      <c r="AZ639" s="86" t="s">
        <v>1072</v>
      </c>
      <c r="BA639" s="83" t="s">
        <v>1080</v>
      </c>
      <c r="BC639" s="35">
        <f>AW639+AX639</f>
        <v>174.92</v>
      </c>
      <c r="BD639" s="35">
        <f>I639/(100-BE639)*100</f>
        <v>1</v>
      </c>
      <c r="BE639" s="35">
        <v>0</v>
      </c>
      <c r="BF639" s="35">
        <f>639</f>
        <v>639</v>
      </c>
      <c r="BH639" s="64">
        <f>H639*AO639</f>
        <v>0</v>
      </c>
      <c r="BI639" s="64">
        <f>H639*AP639</f>
        <v>174.92</v>
      </c>
      <c r="BJ639" s="64">
        <f>H639*I639</f>
        <v>174.92</v>
      </c>
      <c r="BK639" s="64" t="s">
        <v>1086</v>
      </c>
      <c r="BL639" s="35">
        <v>741</v>
      </c>
    </row>
    <row r="640" spans="1:64" x14ac:dyDescent="0.2">
      <c r="A640" s="19"/>
      <c r="C640" s="59" t="s">
        <v>521</v>
      </c>
      <c r="D640" s="180" t="s">
        <v>897</v>
      </c>
      <c r="E640" s="181"/>
      <c r="F640" s="181"/>
      <c r="G640" s="181"/>
      <c r="H640" s="181"/>
      <c r="I640" s="182"/>
      <c r="J640" s="181"/>
      <c r="K640" s="181"/>
      <c r="L640" s="181"/>
      <c r="M640" s="183"/>
      <c r="N640" s="19"/>
    </row>
    <row r="641" spans="1:64" x14ac:dyDescent="0.2">
      <c r="A641" s="49" t="s">
        <v>434</v>
      </c>
      <c r="B641" s="57" t="s">
        <v>66</v>
      </c>
      <c r="C641" s="57" t="s">
        <v>771</v>
      </c>
      <c r="D641" s="186" t="s">
        <v>898</v>
      </c>
      <c r="E641" s="187"/>
      <c r="F641" s="187"/>
      <c r="G641" s="57" t="s">
        <v>1002</v>
      </c>
      <c r="H641" s="65">
        <v>1</v>
      </c>
      <c r="I641" s="73">
        <v>166420</v>
      </c>
      <c r="J641" s="65">
        <f>H641*AO641</f>
        <v>166420</v>
      </c>
      <c r="K641" s="65">
        <f>H641*AP641</f>
        <v>0</v>
      </c>
      <c r="L641" s="65">
        <f>H641*I641</f>
        <v>166420</v>
      </c>
      <c r="M641" s="81"/>
      <c r="N641" s="19"/>
      <c r="Z641" s="35">
        <f>IF(AQ641="5",BJ641,0)</f>
        <v>0</v>
      </c>
      <c r="AB641" s="35">
        <f>IF(AQ641="1",BH641,0)</f>
        <v>0</v>
      </c>
      <c r="AC641" s="35">
        <f>IF(AQ641="1",BI641,0)</f>
        <v>0</v>
      </c>
      <c r="AD641" s="35">
        <f>IF(AQ641="7",BH641,0)</f>
        <v>166420</v>
      </c>
      <c r="AE641" s="35">
        <f>IF(AQ641="7",BI641,0)</f>
        <v>0</v>
      </c>
      <c r="AF641" s="35">
        <f>IF(AQ641="2",BH641,0)</f>
        <v>0</v>
      </c>
      <c r="AG641" s="35">
        <f>IF(AQ641="2",BI641,0)</f>
        <v>0</v>
      </c>
      <c r="AH641" s="35">
        <f>IF(AQ641="0",BJ641,0)</f>
        <v>0</v>
      </c>
      <c r="AI641" s="83" t="s">
        <v>66</v>
      </c>
      <c r="AJ641" s="65">
        <f>IF(AN641=0,L641,0)</f>
        <v>0</v>
      </c>
      <c r="AK641" s="65">
        <f>IF(AN641=15,L641,0)</f>
        <v>0</v>
      </c>
      <c r="AL641" s="65">
        <f>IF(AN641=21,L641,0)</f>
        <v>166420</v>
      </c>
      <c r="AN641" s="35">
        <v>21</v>
      </c>
      <c r="AO641" s="35">
        <f>I641*1</f>
        <v>166420</v>
      </c>
      <c r="AP641" s="35">
        <f>I641*(1-1)</f>
        <v>0</v>
      </c>
      <c r="AQ641" s="85" t="s">
        <v>144</v>
      </c>
      <c r="AV641" s="35">
        <f>AW641+AX641</f>
        <v>166420</v>
      </c>
      <c r="AW641" s="35">
        <f>H641*AO641</f>
        <v>166420</v>
      </c>
      <c r="AX641" s="35">
        <f>H641*AP641</f>
        <v>0</v>
      </c>
      <c r="AY641" s="86" t="s">
        <v>1045</v>
      </c>
      <c r="AZ641" s="86" t="s">
        <v>1072</v>
      </c>
      <c r="BA641" s="83" t="s">
        <v>1080</v>
      </c>
      <c r="BC641" s="35">
        <f>AW641+AX641</f>
        <v>166420</v>
      </c>
      <c r="BD641" s="35">
        <f>I641/(100-BE641)*100</f>
        <v>166420</v>
      </c>
      <c r="BE641" s="35">
        <v>0</v>
      </c>
      <c r="BF641" s="35">
        <f>641</f>
        <v>641</v>
      </c>
      <c r="BH641" s="65">
        <f>H641*AO641</f>
        <v>166420</v>
      </c>
      <c r="BI641" s="65">
        <f>H641*AP641</f>
        <v>0</v>
      </c>
      <c r="BJ641" s="65">
        <f>H641*I641</f>
        <v>166420</v>
      </c>
      <c r="BK641" s="65" t="s">
        <v>1001</v>
      </c>
      <c r="BL641" s="35">
        <v>741</v>
      </c>
    </row>
    <row r="642" spans="1:64" ht="179.65" customHeight="1" x14ac:dyDescent="0.2">
      <c r="A642" s="19"/>
      <c r="C642" s="59" t="s">
        <v>521</v>
      </c>
      <c r="D642" s="180" t="s">
        <v>969</v>
      </c>
      <c r="E642" s="181"/>
      <c r="F642" s="181"/>
      <c r="G642" s="181"/>
      <c r="H642" s="181"/>
      <c r="I642" s="182"/>
      <c r="J642" s="181"/>
      <c r="K642" s="181"/>
      <c r="L642" s="181"/>
      <c r="M642" s="183"/>
      <c r="N642" s="19"/>
    </row>
    <row r="643" spans="1:64" x14ac:dyDescent="0.2">
      <c r="A643" s="46"/>
      <c r="B643" s="54" t="s">
        <v>66</v>
      </c>
      <c r="C643" s="54" t="s">
        <v>117</v>
      </c>
      <c r="D643" s="176" t="s">
        <v>136</v>
      </c>
      <c r="E643" s="177"/>
      <c r="F643" s="177"/>
      <c r="G643" s="61" t="s">
        <v>60</v>
      </c>
      <c r="H643" s="61" t="s">
        <v>60</v>
      </c>
      <c r="I643" s="70" t="s">
        <v>60</v>
      </c>
      <c r="J643" s="89">
        <f>SUM(J644:J746)</f>
        <v>90639</v>
      </c>
      <c r="K643" s="89">
        <f>SUM(K644:K746)</f>
        <v>44035.002</v>
      </c>
      <c r="L643" s="89">
        <f>SUM(L644:L746)</f>
        <v>134674.00200000001</v>
      </c>
      <c r="M643" s="78"/>
      <c r="N643" s="19"/>
      <c r="AI643" s="83" t="s">
        <v>66</v>
      </c>
      <c r="AS643" s="89">
        <f>SUM(AJ644:AJ746)</f>
        <v>0</v>
      </c>
      <c r="AT643" s="89">
        <f>SUM(AK644:AK746)</f>
        <v>0</v>
      </c>
      <c r="AU643" s="89">
        <f>SUM(AL644:AL746)</f>
        <v>134674.00200000001</v>
      </c>
    </row>
    <row r="644" spans="1:64" x14ac:dyDescent="0.2">
      <c r="A644" s="47" t="s">
        <v>435</v>
      </c>
      <c r="B644" s="55" t="s">
        <v>66</v>
      </c>
      <c r="C644" s="55" t="s">
        <v>772</v>
      </c>
      <c r="D644" s="178" t="s">
        <v>900</v>
      </c>
      <c r="E644" s="179"/>
      <c r="F644" s="179"/>
      <c r="G644" s="55" t="s">
        <v>1002</v>
      </c>
      <c r="H644" s="64">
        <v>1</v>
      </c>
      <c r="I644" s="71">
        <v>12850</v>
      </c>
      <c r="J644" s="64">
        <f>H644*AO644</f>
        <v>0</v>
      </c>
      <c r="K644" s="64">
        <f>H644*AP644</f>
        <v>12850</v>
      </c>
      <c r="L644" s="64">
        <f>H644*I644</f>
        <v>12850</v>
      </c>
      <c r="M644" s="79"/>
      <c r="N644" s="19"/>
      <c r="Z644" s="35">
        <f>IF(AQ644="5",BJ644,0)</f>
        <v>0</v>
      </c>
      <c r="AB644" s="35">
        <f>IF(AQ644="1",BH644,0)</f>
        <v>0</v>
      </c>
      <c r="AC644" s="35">
        <f>IF(AQ644="1",BI644,0)</f>
        <v>0</v>
      </c>
      <c r="AD644" s="35">
        <f>IF(AQ644="7",BH644,0)</f>
        <v>0</v>
      </c>
      <c r="AE644" s="35">
        <f>IF(AQ644="7",BI644,0)</f>
        <v>12850</v>
      </c>
      <c r="AF644" s="35">
        <f>IF(AQ644="2",BH644,0)</f>
        <v>0</v>
      </c>
      <c r="AG644" s="35">
        <f>IF(AQ644="2",BI644,0)</f>
        <v>0</v>
      </c>
      <c r="AH644" s="35">
        <f>IF(AQ644="0",BJ644,0)</f>
        <v>0</v>
      </c>
      <c r="AI644" s="83" t="s">
        <v>66</v>
      </c>
      <c r="AJ644" s="64">
        <f>IF(AN644=0,L644,0)</f>
        <v>0</v>
      </c>
      <c r="AK644" s="64">
        <f>IF(AN644=15,L644,0)</f>
        <v>0</v>
      </c>
      <c r="AL644" s="64">
        <f>IF(AN644=21,L644,0)</f>
        <v>12850</v>
      </c>
      <c r="AN644" s="35">
        <v>21</v>
      </c>
      <c r="AO644" s="35">
        <f>I644*0</f>
        <v>0</v>
      </c>
      <c r="AP644" s="35">
        <f>I644*(1-0)</f>
        <v>12850</v>
      </c>
      <c r="AQ644" s="84" t="s">
        <v>144</v>
      </c>
      <c r="AV644" s="35">
        <f>AW644+AX644</f>
        <v>12850</v>
      </c>
      <c r="AW644" s="35">
        <f>H644*AO644</f>
        <v>0</v>
      </c>
      <c r="AX644" s="35">
        <f>H644*AP644</f>
        <v>12850</v>
      </c>
      <c r="AY644" s="86" t="s">
        <v>1046</v>
      </c>
      <c r="AZ644" s="86" t="s">
        <v>1073</v>
      </c>
      <c r="BA644" s="83" t="s">
        <v>1080</v>
      </c>
      <c r="BC644" s="35">
        <f>AW644+AX644</f>
        <v>12850</v>
      </c>
      <c r="BD644" s="35">
        <f>I644/(100-BE644)*100</f>
        <v>12850</v>
      </c>
      <c r="BE644" s="35">
        <v>0</v>
      </c>
      <c r="BF644" s="35">
        <f>644</f>
        <v>644</v>
      </c>
      <c r="BH644" s="64">
        <f>H644*AO644</f>
        <v>0</v>
      </c>
      <c r="BI644" s="64">
        <f>H644*AP644</f>
        <v>12850</v>
      </c>
      <c r="BJ644" s="64">
        <f>H644*I644</f>
        <v>12850</v>
      </c>
      <c r="BK644" s="64" t="s">
        <v>1086</v>
      </c>
      <c r="BL644" s="35">
        <v>751</v>
      </c>
    </row>
    <row r="645" spans="1:64" x14ac:dyDescent="0.2">
      <c r="A645" s="19"/>
      <c r="C645" s="59" t="s">
        <v>521</v>
      </c>
      <c r="D645" s="180" t="s">
        <v>901</v>
      </c>
      <c r="E645" s="181"/>
      <c r="F645" s="181"/>
      <c r="G645" s="181"/>
      <c r="H645" s="181"/>
      <c r="I645" s="182"/>
      <c r="J645" s="181"/>
      <c r="K645" s="181"/>
      <c r="L645" s="181"/>
      <c r="M645" s="183"/>
      <c r="N645" s="19"/>
    </row>
    <row r="646" spans="1:64" x14ac:dyDescent="0.2">
      <c r="A646" s="49" t="s">
        <v>436</v>
      </c>
      <c r="B646" s="57" t="s">
        <v>66</v>
      </c>
      <c r="C646" s="57" t="s">
        <v>574</v>
      </c>
      <c r="D646" s="186" t="s">
        <v>902</v>
      </c>
      <c r="E646" s="187"/>
      <c r="F646" s="187"/>
      <c r="G646" s="57" t="s">
        <v>1006</v>
      </c>
      <c r="H646" s="65">
        <v>1</v>
      </c>
      <c r="I646" s="73">
        <v>5840</v>
      </c>
      <c r="J646" s="65">
        <f>H646*AO646</f>
        <v>5840</v>
      </c>
      <c r="K646" s="65">
        <f>H646*AP646</f>
        <v>0</v>
      </c>
      <c r="L646" s="65">
        <f>H646*I646</f>
        <v>5840</v>
      </c>
      <c r="M646" s="81"/>
      <c r="N646" s="19"/>
      <c r="Z646" s="35">
        <f>IF(AQ646="5",BJ646,0)</f>
        <v>0</v>
      </c>
      <c r="AB646" s="35">
        <f>IF(AQ646="1",BH646,0)</f>
        <v>0</v>
      </c>
      <c r="AC646" s="35">
        <f>IF(AQ646="1",BI646,0)</f>
        <v>0</v>
      </c>
      <c r="AD646" s="35">
        <f>IF(AQ646="7",BH646,0)</f>
        <v>5840</v>
      </c>
      <c r="AE646" s="35">
        <f>IF(AQ646="7",BI646,0)</f>
        <v>0</v>
      </c>
      <c r="AF646" s="35">
        <f>IF(AQ646="2",BH646,0)</f>
        <v>0</v>
      </c>
      <c r="AG646" s="35">
        <f>IF(AQ646="2",BI646,0)</f>
        <v>0</v>
      </c>
      <c r="AH646" s="35">
        <f>IF(AQ646="0",BJ646,0)</f>
        <v>0</v>
      </c>
      <c r="AI646" s="83" t="s">
        <v>66</v>
      </c>
      <c r="AJ646" s="65">
        <f>IF(AN646=0,L646,0)</f>
        <v>0</v>
      </c>
      <c r="AK646" s="65">
        <f>IF(AN646=15,L646,0)</f>
        <v>0</v>
      </c>
      <c r="AL646" s="65">
        <f>IF(AN646=21,L646,0)</f>
        <v>5840</v>
      </c>
      <c r="AN646" s="35">
        <v>21</v>
      </c>
      <c r="AO646" s="35">
        <f>I646*1</f>
        <v>5840</v>
      </c>
      <c r="AP646" s="35">
        <f>I646*(1-1)</f>
        <v>0</v>
      </c>
      <c r="AQ646" s="85" t="s">
        <v>144</v>
      </c>
      <c r="AV646" s="35">
        <f>AW646+AX646</f>
        <v>5840</v>
      </c>
      <c r="AW646" s="35">
        <f>H646*AO646</f>
        <v>5840</v>
      </c>
      <c r="AX646" s="35">
        <f>H646*AP646</f>
        <v>0</v>
      </c>
      <c r="AY646" s="86" t="s">
        <v>1046</v>
      </c>
      <c r="AZ646" s="86" t="s">
        <v>1073</v>
      </c>
      <c r="BA646" s="83" t="s">
        <v>1080</v>
      </c>
      <c r="BC646" s="35">
        <f>AW646+AX646</f>
        <v>5840</v>
      </c>
      <c r="BD646" s="35">
        <f>I646/(100-BE646)*100</f>
        <v>5840</v>
      </c>
      <c r="BE646" s="35">
        <v>0</v>
      </c>
      <c r="BF646" s="35">
        <f>646</f>
        <v>646</v>
      </c>
      <c r="BH646" s="65">
        <f>H646*AO646</f>
        <v>5840</v>
      </c>
      <c r="BI646" s="65">
        <f>H646*AP646</f>
        <v>0</v>
      </c>
      <c r="BJ646" s="65">
        <f>H646*I646</f>
        <v>5840</v>
      </c>
      <c r="BK646" s="65" t="s">
        <v>1001</v>
      </c>
      <c r="BL646" s="35">
        <v>751</v>
      </c>
    </row>
    <row r="647" spans="1:64" x14ac:dyDescent="0.2">
      <c r="A647" s="19"/>
      <c r="C647" s="59" t="s">
        <v>521</v>
      </c>
      <c r="D647" s="180" t="s">
        <v>902</v>
      </c>
      <c r="E647" s="181"/>
      <c r="F647" s="181"/>
      <c r="G647" s="181"/>
      <c r="H647" s="181"/>
      <c r="I647" s="182"/>
      <c r="J647" s="181"/>
      <c r="K647" s="181"/>
      <c r="L647" s="181"/>
      <c r="M647" s="183"/>
      <c r="N647" s="19"/>
    </row>
    <row r="648" spans="1:64" x14ac:dyDescent="0.2">
      <c r="A648" s="47" t="s">
        <v>437</v>
      </c>
      <c r="B648" s="55" t="s">
        <v>66</v>
      </c>
      <c r="C648" s="55" t="s">
        <v>575</v>
      </c>
      <c r="D648" s="178" t="s">
        <v>903</v>
      </c>
      <c r="E648" s="179"/>
      <c r="F648" s="179"/>
      <c r="G648" s="55" t="s">
        <v>1002</v>
      </c>
      <c r="H648" s="64">
        <v>1</v>
      </c>
      <c r="I648" s="71">
        <v>920</v>
      </c>
      <c r="J648" s="64">
        <f>H648*AO648</f>
        <v>0</v>
      </c>
      <c r="K648" s="64">
        <f>H648*AP648</f>
        <v>920</v>
      </c>
      <c r="L648" s="64">
        <f>H648*I648</f>
        <v>920</v>
      </c>
      <c r="M648" s="79"/>
      <c r="N648" s="19"/>
      <c r="Z648" s="35">
        <f>IF(AQ648="5",BJ648,0)</f>
        <v>0</v>
      </c>
      <c r="AB648" s="35">
        <f>IF(AQ648="1",BH648,0)</f>
        <v>0</v>
      </c>
      <c r="AC648" s="35">
        <f>IF(AQ648="1",BI648,0)</f>
        <v>0</v>
      </c>
      <c r="AD648" s="35">
        <f>IF(AQ648="7",BH648,0)</f>
        <v>0</v>
      </c>
      <c r="AE648" s="35">
        <f>IF(AQ648="7",BI648,0)</f>
        <v>920</v>
      </c>
      <c r="AF648" s="35">
        <f>IF(AQ648="2",BH648,0)</f>
        <v>0</v>
      </c>
      <c r="AG648" s="35">
        <f>IF(AQ648="2",BI648,0)</f>
        <v>0</v>
      </c>
      <c r="AH648" s="35">
        <f>IF(AQ648="0",BJ648,0)</f>
        <v>0</v>
      </c>
      <c r="AI648" s="83" t="s">
        <v>66</v>
      </c>
      <c r="AJ648" s="64">
        <f>IF(AN648=0,L648,0)</f>
        <v>0</v>
      </c>
      <c r="AK648" s="64">
        <f>IF(AN648=15,L648,0)</f>
        <v>0</v>
      </c>
      <c r="AL648" s="64">
        <f>IF(AN648=21,L648,0)</f>
        <v>920</v>
      </c>
      <c r="AN648" s="35">
        <v>21</v>
      </c>
      <c r="AO648" s="35">
        <f>I648*0</f>
        <v>0</v>
      </c>
      <c r="AP648" s="35">
        <f>I648*(1-0)</f>
        <v>920</v>
      </c>
      <c r="AQ648" s="84" t="s">
        <v>144</v>
      </c>
      <c r="AV648" s="35">
        <f>AW648+AX648</f>
        <v>920</v>
      </c>
      <c r="AW648" s="35">
        <f>H648*AO648</f>
        <v>0</v>
      </c>
      <c r="AX648" s="35">
        <f>H648*AP648</f>
        <v>920</v>
      </c>
      <c r="AY648" s="86" t="s">
        <v>1046</v>
      </c>
      <c r="AZ648" s="86" t="s">
        <v>1073</v>
      </c>
      <c r="BA648" s="83" t="s">
        <v>1080</v>
      </c>
      <c r="BC648" s="35">
        <f>AW648+AX648</f>
        <v>920</v>
      </c>
      <c r="BD648" s="35">
        <f>I648/(100-BE648)*100</f>
        <v>919.99999999999989</v>
      </c>
      <c r="BE648" s="35">
        <v>0</v>
      </c>
      <c r="BF648" s="35">
        <f>648</f>
        <v>648</v>
      </c>
      <c r="BH648" s="64">
        <f>H648*AO648</f>
        <v>0</v>
      </c>
      <c r="BI648" s="64">
        <f>H648*AP648</f>
        <v>920</v>
      </c>
      <c r="BJ648" s="64">
        <f>H648*I648</f>
        <v>920</v>
      </c>
      <c r="BK648" s="64" t="s">
        <v>1086</v>
      </c>
      <c r="BL648" s="35">
        <v>751</v>
      </c>
    </row>
    <row r="649" spans="1:64" x14ac:dyDescent="0.2">
      <c r="A649" s="19"/>
      <c r="C649" s="59" t="s">
        <v>521</v>
      </c>
      <c r="D649" s="180" t="s">
        <v>903</v>
      </c>
      <c r="E649" s="181"/>
      <c r="F649" s="181"/>
      <c r="G649" s="181"/>
      <c r="H649" s="181"/>
      <c r="I649" s="182"/>
      <c r="J649" s="181"/>
      <c r="K649" s="181"/>
      <c r="L649" s="181"/>
      <c r="M649" s="183"/>
      <c r="N649" s="19"/>
    </row>
    <row r="650" spans="1:64" x14ac:dyDescent="0.2">
      <c r="A650" s="47" t="s">
        <v>438</v>
      </c>
      <c r="B650" s="55" t="s">
        <v>66</v>
      </c>
      <c r="C650" s="55" t="s">
        <v>576</v>
      </c>
      <c r="D650" s="178" t="s">
        <v>904</v>
      </c>
      <c r="E650" s="179"/>
      <c r="F650" s="179"/>
      <c r="G650" s="55" t="s">
        <v>1003</v>
      </c>
      <c r="H650" s="64">
        <v>2</v>
      </c>
      <c r="I650" s="71">
        <v>335</v>
      </c>
      <c r="J650" s="64">
        <f>H650*AO650</f>
        <v>0</v>
      </c>
      <c r="K650" s="64">
        <f>H650*AP650</f>
        <v>670</v>
      </c>
      <c r="L650" s="64">
        <f>H650*I650</f>
        <v>670</v>
      </c>
      <c r="M650" s="79" t="s">
        <v>1020</v>
      </c>
      <c r="N650" s="19"/>
      <c r="Z650" s="35">
        <f>IF(AQ650="5",BJ650,0)</f>
        <v>0</v>
      </c>
      <c r="AB650" s="35">
        <f>IF(AQ650="1",BH650,0)</f>
        <v>0</v>
      </c>
      <c r="AC650" s="35">
        <f>IF(AQ650="1",BI650,0)</f>
        <v>0</v>
      </c>
      <c r="AD650" s="35">
        <f>IF(AQ650="7",BH650,0)</f>
        <v>0</v>
      </c>
      <c r="AE650" s="35">
        <f>IF(AQ650="7",BI650,0)</f>
        <v>670</v>
      </c>
      <c r="AF650" s="35">
        <f>IF(AQ650="2",BH650,0)</f>
        <v>0</v>
      </c>
      <c r="AG650" s="35">
        <f>IF(AQ650="2",BI650,0)</f>
        <v>0</v>
      </c>
      <c r="AH650" s="35">
        <f>IF(AQ650="0",BJ650,0)</f>
        <v>0</v>
      </c>
      <c r="AI650" s="83" t="s">
        <v>66</v>
      </c>
      <c r="AJ650" s="64">
        <f>IF(AN650=0,L650,0)</f>
        <v>0</v>
      </c>
      <c r="AK650" s="64">
        <f>IF(AN650=15,L650,0)</f>
        <v>0</v>
      </c>
      <c r="AL650" s="64">
        <f>IF(AN650=21,L650,0)</f>
        <v>670</v>
      </c>
      <c r="AN650" s="35">
        <v>21</v>
      </c>
      <c r="AO650" s="35">
        <f>I650*0</f>
        <v>0</v>
      </c>
      <c r="AP650" s="35">
        <f>I650*(1-0)</f>
        <v>335</v>
      </c>
      <c r="AQ650" s="84" t="s">
        <v>144</v>
      </c>
      <c r="AV650" s="35">
        <f>AW650+AX650</f>
        <v>670</v>
      </c>
      <c r="AW650" s="35">
        <f>H650*AO650</f>
        <v>0</v>
      </c>
      <c r="AX650" s="35">
        <f>H650*AP650</f>
        <v>670</v>
      </c>
      <c r="AY650" s="86" t="s">
        <v>1046</v>
      </c>
      <c r="AZ650" s="86" t="s">
        <v>1073</v>
      </c>
      <c r="BA650" s="83" t="s">
        <v>1080</v>
      </c>
      <c r="BC650" s="35">
        <f>AW650+AX650</f>
        <v>670</v>
      </c>
      <c r="BD650" s="35">
        <f>I650/(100-BE650)*100</f>
        <v>335</v>
      </c>
      <c r="BE650" s="35">
        <v>0</v>
      </c>
      <c r="BF650" s="35">
        <f>650</f>
        <v>650</v>
      </c>
      <c r="BH650" s="64">
        <f>H650*AO650</f>
        <v>0</v>
      </c>
      <c r="BI650" s="64">
        <f>H650*AP650</f>
        <v>670</v>
      </c>
      <c r="BJ650" s="64">
        <f>H650*I650</f>
        <v>670</v>
      </c>
      <c r="BK650" s="64" t="s">
        <v>1086</v>
      </c>
      <c r="BL650" s="35">
        <v>751</v>
      </c>
    </row>
    <row r="651" spans="1:64" x14ac:dyDescent="0.2">
      <c r="A651" s="19"/>
      <c r="C651" s="59" t="s">
        <v>521</v>
      </c>
      <c r="D651" s="180" t="s">
        <v>904</v>
      </c>
      <c r="E651" s="181"/>
      <c r="F651" s="181"/>
      <c r="G651" s="181"/>
      <c r="H651" s="181"/>
      <c r="I651" s="182"/>
      <c r="J651" s="181"/>
      <c r="K651" s="181"/>
      <c r="L651" s="181"/>
      <c r="M651" s="183"/>
      <c r="N651" s="19"/>
    </row>
    <row r="652" spans="1:64" x14ac:dyDescent="0.2">
      <c r="A652" s="49" t="s">
        <v>439</v>
      </c>
      <c r="B652" s="57" t="s">
        <v>66</v>
      </c>
      <c r="C652" s="57" t="s">
        <v>773</v>
      </c>
      <c r="D652" s="186" t="s">
        <v>905</v>
      </c>
      <c r="E652" s="187"/>
      <c r="F652" s="187"/>
      <c r="G652" s="57" t="s">
        <v>1004</v>
      </c>
      <c r="H652" s="65">
        <v>2</v>
      </c>
      <c r="I652" s="73">
        <v>1340</v>
      </c>
      <c r="J652" s="65">
        <f>H652*AO652</f>
        <v>2680</v>
      </c>
      <c r="K652" s="65">
        <f>H652*AP652</f>
        <v>0</v>
      </c>
      <c r="L652" s="65">
        <f>H652*I652</f>
        <v>2680</v>
      </c>
      <c r="M652" s="81"/>
      <c r="N652" s="19"/>
      <c r="Z652" s="35">
        <f>IF(AQ652="5",BJ652,0)</f>
        <v>0</v>
      </c>
      <c r="AB652" s="35">
        <f>IF(AQ652="1",BH652,0)</f>
        <v>0</v>
      </c>
      <c r="AC652" s="35">
        <f>IF(AQ652="1",BI652,0)</f>
        <v>0</v>
      </c>
      <c r="AD652" s="35">
        <f>IF(AQ652="7",BH652,0)</f>
        <v>2680</v>
      </c>
      <c r="AE652" s="35">
        <f>IF(AQ652="7",BI652,0)</f>
        <v>0</v>
      </c>
      <c r="AF652" s="35">
        <f>IF(AQ652="2",BH652,0)</f>
        <v>0</v>
      </c>
      <c r="AG652" s="35">
        <f>IF(AQ652="2",BI652,0)</f>
        <v>0</v>
      </c>
      <c r="AH652" s="35">
        <f>IF(AQ652="0",BJ652,0)</f>
        <v>0</v>
      </c>
      <c r="AI652" s="83" t="s">
        <v>66</v>
      </c>
      <c r="AJ652" s="65">
        <f>IF(AN652=0,L652,0)</f>
        <v>0</v>
      </c>
      <c r="AK652" s="65">
        <f>IF(AN652=15,L652,0)</f>
        <v>0</v>
      </c>
      <c r="AL652" s="65">
        <f>IF(AN652=21,L652,0)</f>
        <v>2680</v>
      </c>
      <c r="AN652" s="35">
        <v>21</v>
      </c>
      <c r="AO652" s="35">
        <f>I652*1</f>
        <v>1340</v>
      </c>
      <c r="AP652" s="35">
        <f>I652*(1-1)</f>
        <v>0</v>
      </c>
      <c r="AQ652" s="85" t="s">
        <v>144</v>
      </c>
      <c r="AV652" s="35">
        <f>AW652+AX652</f>
        <v>2680</v>
      </c>
      <c r="AW652" s="35">
        <f>H652*AO652</f>
        <v>2680</v>
      </c>
      <c r="AX652" s="35">
        <f>H652*AP652</f>
        <v>0</v>
      </c>
      <c r="AY652" s="86" t="s">
        <v>1046</v>
      </c>
      <c r="AZ652" s="86" t="s">
        <v>1073</v>
      </c>
      <c r="BA652" s="83" t="s">
        <v>1080</v>
      </c>
      <c r="BC652" s="35">
        <f>AW652+AX652</f>
        <v>2680</v>
      </c>
      <c r="BD652" s="35">
        <f>I652/(100-BE652)*100</f>
        <v>1340</v>
      </c>
      <c r="BE652" s="35">
        <v>0</v>
      </c>
      <c r="BF652" s="35">
        <f>652</f>
        <v>652</v>
      </c>
      <c r="BH652" s="65">
        <f>H652*AO652</f>
        <v>2680</v>
      </c>
      <c r="BI652" s="65">
        <f>H652*AP652</f>
        <v>0</v>
      </c>
      <c r="BJ652" s="65">
        <f>H652*I652</f>
        <v>2680</v>
      </c>
      <c r="BK652" s="65" t="s">
        <v>1001</v>
      </c>
      <c r="BL652" s="35">
        <v>751</v>
      </c>
    </row>
    <row r="653" spans="1:64" x14ac:dyDescent="0.2">
      <c r="A653" s="19"/>
      <c r="C653" s="59" t="s">
        <v>521</v>
      </c>
      <c r="D653" s="180" t="s">
        <v>905</v>
      </c>
      <c r="E653" s="181"/>
      <c r="F653" s="181"/>
      <c r="G653" s="181"/>
      <c r="H653" s="181"/>
      <c r="I653" s="182"/>
      <c r="J653" s="181"/>
      <c r="K653" s="181"/>
      <c r="L653" s="181"/>
      <c r="M653" s="183"/>
      <c r="N653" s="19"/>
    </row>
    <row r="654" spans="1:64" x14ac:dyDescent="0.2">
      <c r="A654" s="49" t="s">
        <v>440</v>
      </c>
      <c r="B654" s="57" t="s">
        <v>66</v>
      </c>
      <c r="C654" s="57" t="s">
        <v>774</v>
      </c>
      <c r="D654" s="186" t="s">
        <v>906</v>
      </c>
      <c r="E654" s="187"/>
      <c r="F654" s="187"/>
      <c r="G654" s="57" t="s">
        <v>1004</v>
      </c>
      <c r="H654" s="65">
        <v>1</v>
      </c>
      <c r="I654" s="73">
        <v>8970</v>
      </c>
      <c r="J654" s="65">
        <f>H654*AO654</f>
        <v>8970</v>
      </c>
      <c r="K654" s="65">
        <f>H654*AP654</f>
        <v>0</v>
      </c>
      <c r="L654" s="65">
        <f>H654*I654</f>
        <v>8970</v>
      </c>
      <c r="M654" s="81"/>
      <c r="N654" s="19"/>
      <c r="Z654" s="35">
        <f>IF(AQ654="5",BJ654,0)</f>
        <v>0</v>
      </c>
      <c r="AB654" s="35">
        <f>IF(AQ654="1",BH654,0)</f>
        <v>0</v>
      </c>
      <c r="AC654" s="35">
        <f>IF(AQ654="1",BI654,0)</f>
        <v>0</v>
      </c>
      <c r="AD654" s="35">
        <f>IF(AQ654="7",BH654,0)</f>
        <v>8970</v>
      </c>
      <c r="AE654" s="35">
        <f>IF(AQ654="7",BI654,0)</f>
        <v>0</v>
      </c>
      <c r="AF654" s="35">
        <f>IF(AQ654="2",BH654,0)</f>
        <v>0</v>
      </c>
      <c r="AG654" s="35">
        <f>IF(AQ654="2",BI654,0)</f>
        <v>0</v>
      </c>
      <c r="AH654" s="35">
        <f>IF(AQ654="0",BJ654,0)</f>
        <v>0</v>
      </c>
      <c r="AI654" s="83" t="s">
        <v>66</v>
      </c>
      <c r="AJ654" s="65">
        <f>IF(AN654=0,L654,0)</f>
        <v>0</v>
      </c>
      <c r="AK654" s="65">
        <f>IF(AN654=15,L654,0)</f>
        <v>0</v>
      </c>
      <c r="AL654" s="65">
        <f>IF(AN654=21,L654,0)</f>
        <v>8970</v>
      </c>
      <c r="AN654" s="35">
        <v>21</v>
      </c>
      <c r="AO654" s="35">
        <f>I654*1</f>
        <v>8970</v>
      </c>
      <c r="AP654" s="35">
        <f>I654*(1-1)</f>
        <v>0</v>
      </c>
      <c r="AQ654" s="85" t="s">
        <v>144</v>
      </c>
      <c r="AV654" s="35">
        <f>AW654+AX654</f>
        <v>8970</v>
      </c>
      <c r="AW654" s="35">
        <f>H654*AO654</f>
        <v>8970</v>
      </c>
      <c r="AX654" s="35">
        <f>H654*AP654</f>
        <v>0</v>
      </c>
      <c r="AY654" s="86" t="s">
        <v>1046</v>
      </c>
      <c r="AZ654" s="86" t="s">
        <v>1073</v>
      </c>
      <c r="BA654" s="83" t="s">
        <v>1080</v>
      </c>
      <c r="BC654" s="35">
        <f>AW654+AX654</f>
        <v>8970</v>
      </c>
      <c r="BD654" s="35">
        <f>I654/(100-BE654)*100</f>
        <v>8970</v>
      </c>
      <c r="BE654" s="35">
        <v>0</v>
      </c>
      <c r="BF654" s="35">
        <f>654</f>
        <v>654</v>
      </c>
      <c r="BH654" s="65">
        <f>H654*AO654</f>
        <v>8970</v>
      </c>
      <c r="BI654" s="65">
        <f>H654*AP654</f>
        <v>0</v>
      </c>
      <c r="BJ654" s="65">
        <f>H654*I654</f>
        <v>8970</v>
      </c>
      <c r="BK654" s="65" t="s">
        <v>1001</v>
      </c>
      <c r="BL654" s="35">
        <v>751</v>
      </c>
    </row>
    <row r="655" spans="1:64" ht="25.7" customHeight="1" x14ac:dyDescent="0.2">
      <c r="A655" s="19"/>
      <c r="C655" s="59" t="s">
        <v>521</v>
      </c>
      <c r="D655" s="180" t="s">
        <v>907</v>
      </c>
      <c r="E655" s="181"/>
      <c r="F655" s="181"/>
      <c r="G655" s="181"/>
      <c r="H655" s="181"/>
      <c r="I655" s="182"/>
      <c r="J655" s="181"/>
      <c r="K655" s="181"/>
      <c r="L655" s="181"/>
      <c r="M655" s="183"/>
      <c r="N655" s="19"/>
    </row>
    <row r="656" spans="1:64" x14ac:dyDescent="0.2">
      <c r="A656" s="49" t="s">
        <v>441</v>
      </c>
      <c r="B656" s="57" t="s">
        <v>66</v>
      </c>
      <c r="C656" s="57" t="s">
        <v>775</v>
      </c>
      <c r="D656" s="186" t="s">
        <v>908</v>
      </c>
      <c r="E656" s="187"/>
      <c r="F656" s="187"/>
      <c r="G656" s="57" t="s">
        <v>1007</v>
      </c>
      <c r="H656" s="65">
        <v>5</v>
      </c>
      <c r="I656" s="73">
        <v>332</v>
      </c>
      <c r="J656" s="65">
        <f>H656*AO656</f>
        <v>1660</v>
      </c>
      <c r="K656" s="65">
        <f>H656*AP656</f>
        <v>0</v>
      </c>
      <c r="L656" s="65">
        <f>H656*I656</f>
        <v>1660</v>
      </c>
      <c r="M656" s="81"/>
      <c r="N656" s="19"/>
      <c r="Z656" s="35">
        <f>IF(AQ656="5",BJ656,0)</f>
        <v>0</v>
      </c>
      <c r="AB656" s="35">
        <f>IF(AQ656="1",BH656,0)</f>
        <v>0</v>
      </c>
      <c r="AC656" s="35">
        <f>IF(AQ656="1",BI656,0)</f>
        <v>0</v>
      </c>
      <c r="AD656" s="35">
        <f>IF(AQ656="7",BH656,0)</f>
        <v>1660</v>
      </c>
      <c r="AE656" s="35">
        <f>IF(AQ656="7",BI656,0)</f>
        <v>0</v>
      </c>
      <c r="AF656" s="35">
        <f>IF(AQ656="2",BH656,0)</f>
        <v>0</v>
      </c>
      <c r="AG656" s="35">
        <f>IF(AQ656="2",BI656,0)</f>
        <v>0</v>
      </c>
      <c r="AH656" s="35">
        <f>IF(AQ656="0",BJ656,0)</f>
        <v>0</v>
      </c>
      <c r="AI656" s="83" t="s">
        <v>66</v>
      </c>
      <c r="AJ656" s="65">
        <f>IF(AN656=0,L656,0)</f>
        <v>0</v>
      </c>
      <c r="AK656" s="65">
        <f>IF(AN656=15,L656,0)</f>
        <v>0</v>
      </c>
      <c r="AL656" s="65">
        <f>IF(AN656=21,L656,0)</f>
        <v>1660</v>
      </c>
      <c r="AN656" s="35">
        <v>21</v>
      </c>
      <c r="AO656" s="35">
        <f>I656*1</f>
        <v>332</v>
      </c>
      <c r="AP656" s="35">
        <f>I656*(1-1)</f>
        <v>0</v>
      </c>
      <c r="AQ656" s="85" t="s">
        <v>144</v>
      </c>
      <c r="AV656" s="35">
        <f>AW656+AX656</f>
        <v>1660</v>
      </c>
      <c r="AW656" s="35">
        <f>H656*AO656</f>
        <v>1660</v>
      </c>
      <c r="AX656" s="35">
        <f>H656*AP656</f>
        <v>0</v>
      </c>
      <c r="AY656" s="86" t="s">
        <v>1046</v>
      </c>
      <c r="AZ656" s="86" t="s">
        <v>1073</v>
      </c>
      <c r="BA656" s="83" t="s">
        <v>1080</v>
      </c>
      <c r="BC656" s="35">
        <f>AW656+AX656</f>
        <v>1660</v>
      </c>
      <c r="BD656" s="35">
        <f>I656/(100-BE656)*100</f>
        <v>332</v>
      </c>
      <c r="BE656" s="35">
        <v>0</v>
      </c>
      <c r="BF656" s="35">
        <f>656</f>
        <v>656</v>
      </c>
      <c r="BH656" s="65">
        <f>H656*AO656</f>
        <v>1660</v>
      </c>
      <c r="BI656" s="65">
        <f>H656*AP656</f>
        <v>0</v>
      </c>
      <c r="BJ656" s="65">
        <f>H656*I656</f>
        <v>1660</v>
      </c>
      <c r="BK656" s="65" t="s">
        <v>1001</v>
      </c>
      <c r="BL656" s="35">
        <v>751</v>
      </c>
    </row>
    <row r="657" spans="1:64" x14ac:dyDescent="0.2">
      <c r="A657" s="19"/>
      <c r="C657" s="59" t="s">
        <v>521</v>
      </c>
      <c r="D657" s="180" t="s">
        <v>908</v>
      </c>
      <c r="E657" s="181"/>
      <c r="F657" s="181"/>
      <c r="G657" s="181"/>
      <c r="H657" s="181"/>
      <c r="I657" s="182"/>
      <c r="J657" s="181"/>
      <c r="K657" s="181"/>
      <c r="L657" s="181"/>
      <c r="M657" s="183"/>
      <c r="N657" s="19"/>
    </row>
    <row r="658" spans="1:64" x14ac:dyDescent="0.2">
      <c r="A658" s="47" t="s">
        <v>442</v>
      </c>
      <c r="B658" s="55" t="s">
        <v>66</v>
      </c>
      <c r="C658" s="55" t="s">
        <v>776</v>
      </c>
      <c r="D658" s="178" t="s">
        <v>909</v>
      </c>
      <c r="E658" s="179"/>
      <c r="F658" s="179"/>
      <c r="G658" s="55" t="s">
        <v>1002</v>
      </c>
      <c r="H658" s="64">
        <v>1</v>
      </c>
      <c r="I658" s="71">
        <v>2670</v>
      </c>
      <c r="J658" s="64">
        <f>H658*AO658</f>
        <v>0</v>
      </c>
      <c r="K658" s="64">
        <f>H658*AP658</f>
        <v>2670</v>
      </c>
      <c r="L658" s="64">
        <f>H658*I658</f>
        <v>2670</v>
      </c>
      <c r="M658" s="79"/>
      <c r="N658" s="19"/>
      <c r="Z658" s="35">
        <f>IF(AQ658="5",BJ658,0)</f>
        <v>0</v>
      </c>
      <c r="AB658" s="35">
        <f>IF(AQ658="1",BH658,0)</f>
        <v>0</v>
      </c>
      <c r="AC658" s="35">
        <f>IF(AQ658="1",BI658,0)</f>
        <v>0</v>
      </c>
      <c r="AD658" s="35">
        <f>IF(AQ658="7",BH658,0)</f>
        <v>0</v>
      </c>
      <c r="AE658" s="35">
        <f>IF(AQ658="7",BI658,0)</f>
        <v>2670</v>
      </c>
      <c r="AF658" s="35">
        <f>IF(AQ658="2",BH658,0)</f>
        <v>0</v>
      </c>
      <c r="AG658" s="35">
        <f>IF(AQ658="2",BI658,0)</f>
        <v>0</v>
      </c>
      <c r="AH658" s="35">
        <f>IF(AQ658="0",BJ658,0)</f>
        <v>0</v>
      </c>
      <c r="AI658" s="83" t="s">
        <v>66</v>
      </c>
      <c r="AJ658" s="64">
        <f>IF(AN658=0,L658,0)</f>
        <v>0</v>
      </c>
      <c r="AK658" s="64">
        <f>IF(AN658=15,L658,0)</f>
        <v>0</v>
      </c>
      <c r="AL658" s="64">
        <f>IF(AN658=21,L658,0)</f>
        <v>2670</v>
      </c>
      <c r="AN658" s="35">
        <v>21</v>
      </c>
      <c r="AO658" s="35">
        <f>I658*0</f>
        <v>0</v>
      </c>
      <c r="AP658" s="35">
        <f>I658*(1-0)</f>
        <v>2670</v>
      </c>
      <c r="AQ658" s="84" t="s">
        <v>144</v>
      </c>
      <c r="AV658" s="35">
        <f>AW658+AX658</f>
        <v>2670</v>
      </c>
      <c r="AW658" s="35">
        <f>H658*AO658</f>
        <v>0</v>
      </c>
      <c r="AX658" s="35">
        <f>H658*AP658</f>
        <v>2670</v>
      </c>
      <c r="AY658" s="86" t="s">
        <v>1046</v>
      </c>
      <c r="AZ658" s="86" t="s">
        <v>1073</v>
      </c>
      <c r="BA658" s="83" t="s">
        <v>1080</v>
      </c>
      <c r="BC658" s="35">
        <f>AW658+AX658</f>
        <v>2670</v>
      </c>
      <c r="BD658" s="35">
        <f>I658/(100-BE658)*100</f>
        <v>2670</v>
      </c>
      <c r="BE658" s="35">
        <v>0</v>
      </c>
      <c r="BF658" s="35">
        <f>658</f>
        <v>658</v>
      </c>
      <c r="BH658" s="64">
        <f>H658*AO658</f>
        <v>0</v>
      </c>
      <c r="BI658" s="64">
        <f>H658*AP658</f>
        <v>2670</v>
      </c>
      <c r="BJ658" s="64">
        <f>H658*I658</f>
        <v>2670</v>
      </c>
      <c r="BK658" s="64" t="s">
        <v>1086</v>
      </c>
      <c r="BL658" s="35">
        <v>751</v>
      </c>
    </row>
    <row r="659" spans="1:64" x14ac:dyDescent="0.2">
      <c r="A659" s="19"/>
      <c r="C659" s="59" t="s">
        <v>521</v>
      </c>
      <c r="D659" s="180" t="s">
        <v>909</v>
      </c>
      <c r="E659" s="181"/>
      <c r="F659" s="181"/>
      <c r="G659" s="181"/>
      <c r="H659" s="181"/>
      <c r="I659" s="182"/>
      <c r="J659" s="181"/>
      <c r="K659" s="181"/>
      <c r="L659" s="181"/>
      <c r="M659" s="183"/>
      <c r="N659" s="19"/>
    </row>
    <row r="660" spans="1:64" x14ac:dyDescent="0.2">
      <c r="A660" s="49" t="s">
        <v>443</v>
      </c>
      <c r="B660" s="57" t="s">
        <v>66</v>
      </c>
      <c r="C660" s="57" t="s">
        <v>777</v>
      </c>
      <c r="D660" s="186" t="s">
        <v>910</v>
      </c>
      <c r="E660" s="187"/>
      <c r="F660" s="187"/>
      <c r="G660" s="57" t="s">
        <v>1004</v>
      </c>
      <c r="H660" s="65">
        <v>2</v>
      </c>
      <c r="I660" s="73">
        <v>8780</v>
      </c>
      <c r="J660" s="65">
        <f>H660*AO660</f>
        <v>17560</v>
      </c>
      <c r="K660" s="65">
        <f>H660*AP660</f>
        <v>0</v>
      </c>
      <c r="L660" s="65">
        <f>H660*I660</f>
        <v>17560</v>
      </c>
      <c r="M660" s="81"/>
      <c r="N660" s="19"/>
      <c r="Z660" s="35">
        <f>IF(AQ660="5",BJ660,0)</f>
        <v>0</v>
      </c>
      <c r="AB660" s="35">
        <f>IF(AQ660="1",BH660,0)</f>
        <v>0</v>
      </c>
      <c r="AC660" s="35">
        <f>IF(AQ660="1",BI660,0)</f>
        <v>0</v>
      </c>
      <c r="AD660" s="35">
        <f>IF(AQ660="7",BH660,0)</f>
        <v>17560</v>
      </c>
      <c r="AE660" s="35">
        <f>IF(AQ660="7",BI660,0)</f>
        <v>0</v>
      </c>
      <c r="AF660" s="35">
        <f>IF(AQ660="2",BH660,0)</f>
        <v>0</v>
      </c>
      <c r="AG660" s="35">
        <f>IF(AQ660="2",BI660,0)</f>
        <v>0</v>
      </c>
      <c r="AH660" s="35">
        <f>IF(AQ660="0",BJ660,0)</f>
        <v>0</v>
      </c>
      <c r="AI660" s="83" t="s">
        <v>66</v>
      </c>
      <c r="AJ660" s="65">
        <f>IF(AN660=0,L660,0)</f>
        <v>0</v>
      </c>
      <c r="AK660" s="65">
        <f>IF(AN660=15,L660,0)</f>
        <v>0</v>
      </c>
      <c r="AL660" s="65">
        <f>IF(AN660=21,L660,0)</f>
        <v>17560</v>
      </c>
      <c r="AN660" s="35">
        <v>21</v>
      </c>
      <c r="AO660" s="35">
        <f>I660*1</f>
        <v>8780</v>
      </c>
      <c r="AP660" s="35">
        <f>I660*(1-1)</f>
        <v>0</v>
      </c>
      <c r="AQ660" s="85" t="s">
        <v>144</v>
      </c>
      <c r="AV660" s="35">
        <f>AW660+AX660</f>
        <v>17560</v>
      </c>
      <c r="AW660" s="35">
        <f>H660*AO660</f>
        <v>17560</v>
      </c>
      <c r="AX660" s="35">
        <f>H660*AP660</f>
        <v>0</v>
      </c>
      <c r="AY660" s="86" t="s">
        <v>1046</v>
      </c>
      <c r="AZ660" s="86" t="s">
        <v>1073</v>
      </c>
      <c r="BA660" s="83" t="s">
        <v>1080</v>
      </c>
      <c r="BC660" s="35">
        <f>AW660+AX660</f>
        <v>17560</v>
      </c>
      <c r="BD660" s="35">
        <f>I660/(100-BE660)*100</f>
        <v>8780</v>
      </c>
      <c r="BE660" s="35">
        <v>0</v>
      </c>
      <c r="BF660" s="35">
        <f>660</f>
        <v>660</v>
      </c>
      <c r="BH660" s="65">
        <f>H660*AO660</f>
        <v>17560</v>
      </c>
      <c r="BI660" s="65">
        <f>H660*AP660</f>
        <v>0</v>
      </c>
      <c r="BJ660" s="65">
        <f>H660*I660</f>
        <v>17560</v>
      </c>
      <c r="BK660" s="65" t="s">
        <v>1001</v>
      </c>
      <c r="BL660" s="35">
        <v>751</v>
      </c>
    </row>
    <row r="661" spans="1:64" x14ac:dyDescent="0.2">
      <c r="A661" s="19"/>
      <c r="C661" s="59" t="s">
        <v>521</v>
      </c>
      <c r="D661" s="180" t="s">
        <v>910</v>
      </c>
      <c r="E661" s="181"/>
      <c r="F661" s="181"/>
      <c r="G661" s="181"/>
      <c r="H661" s="181"/>
      <c r="I661" s="182"/>
      <c r="J661" s="181"/>
      <c r="K661" s="181"/>
      <c r="L661" s="181"/>
      <c r="M661" s="183"/>
      <c r="N661" s="19"/>
    </row>
    <row r="662" spans="1:64" x14ac:dyDescent="0.2">
      <c r="A662" s="47" t="s">
        <v>444</v>
      </c>
      <c r="B662" s="55" t="s">
        <v>66</v>
      </c>
      <c r="C662" s="55" t="s">
        <v>582</v>
      </c>
      <c r="D662" s="178" t="s">
        <v>911</v>
      </c>
      <c r="E662" s="179"/>
      <c r="F662" s="179"/>
      <c r="G662" s="55" t="s">
        <v>1003</v>
      </c>
      <c r="H662" s="64">
        <v>2</v>
      </c>
      <c r="I662" s="71">
        <v>785</v>
      </c>
      <c r="J662" s="64">
        <f>H662*AO662</f>
        <v>0</v>
      </c>
      <c r="K662" s="64">
        <f>H662*AP662</f>
        <v>1570</v>
      </c>
      <c r="L662" s="64">
        <f>H662*I662</f>
        <v>1570</v>
      </c>
      <c r="M662" s="79" t="s">
        <v>1021</v>
      </c>
      <c r="N662" s="19"/>
      <c r="Z662" s="35">
        <f>IF(AQ662="5",BJ662,0)</f>
        <v>0</v>
      </c>
      <c r="AB662" s="35">
        <f>IF(AQ662="1",BH662,0)</f>
        <v>0</v>
      </c>
      <c r="AC662" s="35">
        <f>IF(AQ662="1",BI662,0)</f>
        <v>0</v>
      </c>
      <c r="AD662" s="35">
        <f>IF(AQ662="7",BH662,0)</f>
        <v>0</v>
      </c>
      <c r="AE662" s="35">
        <f>IF(AQ662="7",BI662,0)</f>
        <v>1570</v>
      </c>
      <c r="AF662" s="35">
        <f>IF(AQ662="2",BH662,0)</f>
        <v>0</v>
      </c>
      <c r="AG662" s="35">
        <f>IF(AQ662="2",BI662,0)</f>
        <v>0</v>
      </c>
      <c r="AH662" s="35">
        <f>IF(AQ662="0",BJ662,0)</f>
        <v>0</v>
      </c>
      <c r="AI662" s="83" t="s">
        <v>66</v>
      </c>
      <c r="AJ662" s="64">
        <f>IF(AN662=0,L662,0)</f>
        <v>0</v>
      </c>
      <c r="AK662" s="64">
        <f>IF(AN662=15,L662,0)</f>
        <v>0</v>
      </c>
      <c r="AL662" s="64">
        <f>IF(AN662=21,L662,0)</f>
        <v>1570</v>
      </c>
      <c r="AN662" s="35">
        <v>21</v>
      </c>
      <c r="AO662" s="35">
        <f>I662*0</f>
        <v>0</v>
      </c>
      <c r="AP662" s="35">
        <f>I662*(1-0)</f>
        <v>785</v>
      </c>
      <c r="AQ662" s="84" t="s">
        <v>144</v>
      </c>
      <c r="AV662" s="35">
        <f>AW662+AX662</f>
        <v>1570</v>
      </c>
      <c r="AW662" s="35">
        <f>H662*AO662</f>
        <v>0</v>
      </c>
      <c r="AX662" s="35">
        <f>H662*AP662</f>
        <v>1570</v>
      </c>
      <c r="AY662" s="86" t="s">
        <v>1046</v>
      </c>
      <c r="AZ662" s="86" t="s">
        <v>1073</v>
      </c>
      <c r="BA662" s="83" t="s">
        <v>1080</v>
      </c>
      <c r="BC662" s="35">
        <f>AW662+AX662</f>
        <v>1570</v>
      </c>
      <c r="BD662" s="35">
        <f>I662/(100-BE662)*100</f>
        <v>785</v>
      </c>
      <c r="BE662" s="35">
        <v>0</v>
      </c>
      <c r="BF662" s="35">
        <f>662</f>
        <v>662</v>
      </c>
      <c r="BH662" s="64">
        <f>H662*AO662</f>
        <v>0</v>
      </c>
      <c r="BI662" s="64">
        <f>H662*AP662</f>
        <v>1570</v>
      </c>
      <c r="BJ662" s="64">
        <f>H662*I662</f>
        <v>1570</v>
      </c>
      <c r="BK662" s="64" t="s">
        <v>1086</v>
      </c>
      <c r="BL662" s="35">
        <v>751</v>
      </c>
    </row>
    <row r="663" spans="1:64" x14ac:dyDescent="0.2">
      <c r="A663" s="19"/>
      <c r="C663" s="59" t="s">
        <v>521</v>
      </c>
      <c r="D663" s="180" t="s">
        <v>911</v>
      </c>
      <c r="E663" s="181"/>
      <c r="F663" s="181"/>
      <c r="G663" s="181"/>
      <c r="H663" s="181"/>
      <c r="I663" s="182"/>
      <c r="J663" s="181"/>
      <c r="K663" s="181"/>
      <c r="L663" s="181"/>
      <c r="M663" s="183"/>
      <c r="N663" s="19"/>
    </row>
    <row r="664" spans="1:64" x14ac:dyDescent="0.2">
      <c r="A664" s="47" t="s">
        <v>445</v>
      </c>
      <c r="B664" s="55" t="s">
        <v>66</v>
      </c>
      <c r="C664" s="55" t="s">
        <v>778</v>
      </c>
      <c r="D664" s="178" t="s">
        <v>912</v>
      </c>
      <c r="E664" s="179"/>
      <c r="F664" s="179"/>
      <c r="G664" s="55" t="s">
        <v>1001</v>
      </c>
      <c r="H664" s="64">
        <v>8</v>
      </c>
      <c r="I664" s="71">
        <v>151</v>
      </c>
      <c r="J664" s="64">
        <f>H664*AO664</f>
        <v>0</v>
      </c>
      <c r="K664" s="64">
        <f>H664*AP664</f>
        <v>1208</v>
      </c>
      <c r="L664" s="64">
        <f>H664*I664</f>
        <v>1208</v>
      </c>
      <c r="M664" s="79"/>
      <c r="N664" s="19"/>
      <c r="Z664" s="35">
        <f>IF(AQ664="5",BJ664,0)</f>
        <v>0</v>
      </c>
      <c r="AB664" s="35">
        <f>IF(AQ664="1",BH664,0)</f>
        <v>0</v>
      </c>
      <c r="AC664" s="35">
        <f>IF(AQ664="1",BI664,0)</f>
        <v>0</v>
      </c>
      <c r="AD664" s="35">
        <f>IF(AQ664="7",BH664,0)</f>
        <v>0</v>
      </c>
      <c r="AE664" s="35">
        <f>IF(AQ664="7",BI664,0)</f>
        <v>1208</v>
      </c>
      <c r="AF664" s="35">
        <f>IF(AQ664="2",BH664,0)</f>
        <v>0</v>
      </c>
      <c r="AG664" s="35">
        <f>IF(AQ664="2",BI664,0)</f>
        <v>0</v>
      </c>
      <c r="AH664" s="35">
        <f>IF(AQ664="0",BJ664,0)</f>
        <v>0</v>
      </c>
      <c r="AI664" s="83" t="s">
        <v>66</v>
      </c>
      <c r="AJ664" s="64">
        <f>IF(AN664=0,L664,0)</f>
        <v>0</v>
      </c>
      <c r="AK664" s="64">
        <f>IF(AN664=15,L664,0)</f>
        <v>0</v>
      </c>
      <c r="AL664" s="64">
        <f>IF(AN664=21,L664,0)</f>
        <v>1208</v>
      </c>
      <c r="AN664" s="35">
        <v>21</v>
      </c>
      <c r="AO664" s="35">
        <f>I664*0</f>
        <v>0</v>
      </c>
      <c r="AP664" s="35">
        <f>I664*(1-0)</f>
        <v>151</v>
      </c>
      <c r="AQ664" s="84" t="s">
        <v>144</v>
      </c>
      <c r="AV664" s="35">
        <f>AW664+AX664</f>
        <v>1208</v>
      </c>
      <c r="AW664" s="35">
        <f>H664*AO664</f>
        <v>0</v>
      </c>
      <c r="AX664" s="35">
        <f>H664*AP664</f>
        <v>1208</v>
      </c>
      <c r="AY664" s="86" t="s">
        <v>1046</v>
      </c>
      <c r="AZ664" s="86" t="s">
        <v>1073</v>
      </c>
      <c r="BA664" s="83" t="s">
        <v>1080</v>
      </c>
      <c r="BC664" s="35">
        <f>AW664+AX664</f>
        <v>1208</v>
      </c>
      <c r="BD664" s="35">
        <f>I664/(100-BE664)*100</f>
        <v>151</v>
      </c>
      <c r="BE664" s="35">
        <v>0</v>
      </c>
      <c r="BF664" s="35">
        <f>664</f>
        <v>664</v>
      </c>
      <c r="BH664" s="64">
        <f>H664*AO664</f>
        <v>0</v>
      </c>
      <c r="BI664" s="64">
        <f>H664*AP664</f>
        <v>1208</v>
      </c>
      <c r="BJ664" s="64">
        <f>H664*I664</f>
        <v>1208</v>
      </c>
      <c r="BK664" s="64" t="s">
        <v>1086</v>
      </c>
      <c r="BL664" s="35">
        <v>751</v>
      </c>
    </row>
    <row r="665" spans="1:64" x14ac:dyDescent="0.2">
      <c r="A665" s="19"/>
      <c r="C665" s="59" t="s">
        <v>521</v>
      </c>
      <c r="D665" s="180" t="s">
        <v>912</v>
      </c>
      <c r="E665" s="181"/>
      <c r="F665" s="181"/>
      <c r="G665" s="181"/>
      <c r="H665" s="181"/>
      <c r="I665" s="182"/>
      <c r="J665" s="181"/>
      <c r="K665" s="181"/>
      <c r="L665" s="181"/>
      <c r="M665" s="183"/>
      <c r="N665" s="19"/>
    </row>
    <row r="666" spans="1:64" x14ac:dyDescent="0.2">
      <c r="A666" s="49" t="s">
        <v>446</v>
      </c>
      <c r="B666" s="57" t="s">
        <v>66</v>
      </c>
      <c r="C666" s="57" t="s">
        <v>779</v>
      </c>
      <c r="D666" s="186" t="s">
        <v>913</v>
      </c>
      <c r="E666" s="187"/>
      <c r="F666" s="187"/>
      <c r="G666" s="57" t="s">
        <v>1001</v>
      </c>
      <c r="H666" s="65">
        <v>8</v>
      </c>
      <c r="I666" s="73">
        <v>210</v>
      </c>
      <c r="J666" s="65">
        <f>H666*AO666</f>
        <v>1680</v>
      </c>
      <c r="K666" s="65">
        <f>H666*AP666</f>
        <v>0</v>
      </c>
      <c r="L666" s="65">
        <f>H666*I666</f>
        <v>1680</v>
      </c>
      <c r="M666" s="81"/>
      <c r="N666" s="19"/>
      <c r="Z666" s="35">
        <f>IF(AQ666="5",BJ666,0)</f>
        <v>0</v>
      </c>
      <c r="AB666" s="35">
        <f>IF(AQ666="1",BH666,0)</f>
        <v>0</v>
      </c>
      <c r="AC666" s="35">
        <f>IF(AQ666="1",BI666,0)</f>
        <v>0</v>
      </c>
      <c r="AD666" s="35">
        <f>IF(AQ666="7",BH666,0)</f>
        <v>1680</v>
      </c>
      <c r="AE666" s="35">
        <f>IF(AQ666="7",BI666,0)</f>
        <v>0</v>
      </c>
      <c r="AF666" s="35">
        <f>IF(AQ666="2",BH666,0)</f>
        <v>0</v>
      </c>
      <c r="AG666" s="35">
        <f>IF(AQ666="2",BI666,0)</f>
        <v>0</v>
      </c>
      <c r="AH666" s="35">
        <f>IF(AQ666="0",BJ666,0)</f>
        <v>0</v>
      </c>
      <c r="AI666" s="83" t="s">
        <v>66</v>
      </c>
      <c r="AJ666" s="65">
        <f>IF(AN666=0,L666,0)</f>
        <v>0</v>
      </c>
      <c r="AK666" s="65">
        <f>IF(AN666=15,L666,0)</f>
        <v>0</v>
      </c>
      <c r="AL666" s="65">
        <f>IF(AN666=21,L666,0)</f>
        <v>1680</v>
      </c>
      <c r="AN666" s="35">
        <v>21</v>
      </c>
      <c r="AO666" s="35">
        <f>I666*1</f>
        <v>210</v>
      </c>
      <c r="AP666" s="35">
        <f>I666*(1-1)</f>
        <v>0</v>
      </c>
      <c r="AQ666" s="85" t="s">
        <v>144</v>
      </c>
      <c r="AV666" s="35">
        <f>AW666+AX666</f>
        <v>1680</v>
      </c>
      <c r="AW666" s="35">
        <f>H666*AO666</f>
        <v>1680</v>
      </c>
      <c r="AX666" s="35">
        <f>H666*AP666</f>
        <v>0</v>
      </c>
      <c r="AY666" s="86" t="s">
        <v>1046</v>
      </c>
      <c r="AZ666" s="86" t="s">
        <v>1073</v>
      </c>
      <c r="BA666" s="83" t="s">
        <v>1080</v>
      </c>
      <c r="BC666" s="35">
        <f>AW666+AX666</f>
        <v>1680</v>
      </c>
      <c r="BD666" s="35">
        <f>I666/(100-BE666)*100</f>
        <v>210</v>
      </c>
      <c r="BE666" s="35">
        <v>0</v>
      </c>
      <c r="BF666" s="35">
        <f>666</f>
        <v>666</v>
      </c>
      <c r="BH666" s="65">
        <f>H666*AO666</f>
        <v>1680</v>
      </c>
      <c r="BI666" s="65">
        <f>H666*AP666</f>
        <v>0</v>
      </c>
      <c r="BJ666" s="65">
        <f>H666*I666</f>
        <v>1680</v>
      </c>
      <c r="BK666" s="65" t="s">
        <v>1001</v>
      </c>
      <c r="BL666" s="35">
        <v>751</v>
      </c>
    </row>
    <row r="667" spans="1:64" x14ac:dyDescent="0.2">
      <c r="A667" s="19"/>
      <c r="C667" s="59" t="s">
        <v>521</v>
      </c>
      <c r="D667" s="180" t="s">
        <v>913</v>
      </c>
      <c r="E667" s="181"/>
      <c r="F667" s="181"/>
      <c r="G667" s="181"/>
      <c r="H667" s="181"/>
      <c r="I667" s="182"/>
      <c r="J667" s="181"/>
      <c r="K667" s="181"/>
      <c r="L667" s="181"/>
      <c r="M667" s="183"/>
      <c r="N667" s="19"/>
    </row>
    <row r="668" spans="1:64" x14ac:dyDescent="0.2">
      <c r="A668" s="47" t="s">
        <v>447</v>
      </c>
      <c r="B668" s="55" t="s">
        <v>66</v>
      </c>
      <c r="C668" s="55" t="s">
        <v>780</v>
      </c>
      <c r="D668" s="178" t="s">
        <v>914</v>
      </c>
      <c r="E668" s="179"/>
      <c r="F668" s="179"/>
      <c r="G668" s="55" t="s">
        <v>1001</v>
      </c>
      <c r="H668" s="64">
        <v>6</v>
      </c>
      <c r="I668" s="71">
        <v>105</v>
      </c>
      <c r="J668" s="64">
        <f>H668*AO668</f>
        <v>0</v>
      </c>
      <c r="K668" s="64">
        <f>H668*AP668</f>
        <v>630</v>
      </c>
      <c r="L668" s="64">
        <f>H668*I668</f>
        <v>630</v>
      </c>
      <c r="M668" s="79"/>
      <c r="N668" s="19"/>
      <c r="Z668" s="35">
        <f>IF(AQ668="5",BJ668,0)</f>
        <v>0</v>
      </c>
      <c r="AB668" s="35">
        <f>IF(AQ668="1",BH668,0)</f>
        <v>0</v>
      </c>
      <c r="AC668" s="35">
        <f>IF(AQ668="1",BI668,0)</f>
        <v>0</v>
      </c>
      <c r="AD668" s="35">
        <f>IF(AQ668="7",BH668,0)</f>
        <v>0</v>
      </c>
      <c r="AE668" s="35">
        <f>IF(AQ668="7",BI668,0)</f>
        <v>630</v>
      </c>
      <c r="AF668" s="35">
        <f>IF(AQ668="2",BH668,0)</f>
        <v>0</v>
      </c>
      <c r="AG668" s="35">
        <f>IF(AQ668="2",BI668,0)</f>
        <v>0</v>
      </c>
      <c r="AH668" s="35">
        <f>IF(AQ668="0",BJ668,0)</f>
        <v>0</v>
      </c>
      <c r="AI668" s="83" t="s">
        <v>66</v>
      </c>
      <c r="AJ668" s="64">
        <f>IF(AN668=0,L668,0)</f>
        <v>0</v>
      </c>
      <c r="AK668" s="64">
        <f>IF(AN668=15,L668,0)</f>
        <v>0</v>
      </c>
      <c r="AL668" s="64">
        <f>IF(AN668=21,L668,0)</f>
        <v>630</v>
      </c>
      <c r="AN668" s="35">
        <v>21</v>
      </c>
      <c r="AO668" s="35">
        <f>I668*0</f>
        <v>0</v>
      </c>
      <c r="AP668" s="35">
        <f>I668*(1-0)</f>
        <v>105</v>
      </c>
      <c r="AQ668" s="84" t="s">
        <v>144</v>
      </c>
      <c r="AV668" s="35">
        <f>AW668+AX668</f>
        <v>630</v>
      </c>
      <c r="AW668" s="35">
        <f>H668*AO668</f>
        <v>0</v>
      </c>
      <c r="AX668" s="35">
        <f>H668*AP668</f>
        <v>630</v>
      </c>
      <c r="AY668" s="86" t="s">
        <v>1046</v>
      </c>
      <c r="AZ668" s="86" t="s">
        <v>1073</v>
      </c>
      <c r="BA668" s="83" t="s">
        <v>1080</v>
      </c>
      <c r="BC668" s="35">
        <f>AW668+AX668</f>
        <v>630</v>
      </c>
      <c r="BD668" s="35">
        <f>I668/(100-BE668)*100</f>
        <v>105</v>
      </c>
      <c r="BE668" s="35">
        <v>0</v>
      </c>
      <c r="BF668" s="35">
        <f>668</f>
        <v>668</v>
      </c>
      <c r="BH668" s="64">
        <f>H668*AO668</f>
        <v>0</v>
      </c>
      <c r="BI668" s="64">
        <f>H668*AP668</f>
        <v>630</v>
      </c>
      <c r="BJ668" s="64">
        <f>H668*I668</f>
        <v>630</v>
      </c>
      <c r="BK668" s="64" t="s">
        <v>1086</v>
      </c>
      <c r="BL668" s="35">
        <v>751</v>
      </c>
    </row>
    <row r="669" spans="1:64" x14ac:dyDescent="0.2">
      <c r="A669" s="19"/>
      <c r="C669" s="59" t="s">
        <v>521</v>
      </c>
      <c r="D669" s="180" t="s">
        <v>915</v>
      </c>
      <c r="E669" s="181"/>
      <c r="F669" s="181"/>
      <c r="G669" s="181"/>
      <c r="H669" s="181"/>
      <c r="I669" s="182"/>
      <c r="J669" s="181"/>
      <c r="K669" s="181"/>
      <c r="L669" s="181"/>
      <c r="M669" s="183"/>
      <c r="N669" s="19"/>
    </row>
    <row r="670" spans="1:64" x14ac:dyDescent="0.2">
      <c r="A670" s="49" t="s">
        <v>448</v>
      </c>
      <c r="B670" s="57" t="s">
        <v>66</v>
      </c>
      <c r="C670" s="57" t="s">
        <v>781</v>
      </c>
      <c r="D670" s="186" t="s">
        <v>916</v>
      </c>
      <c r="E670" s="187"/>
      <c r="F670" s="187"/>
      <c r="G670" s="57" t="s">
        <v>1001</v>
      </c>
      <c r="H670" s="65">
        <v>6</v>
      </c>
      <c r="I670" s="73">
        <v>228</v>
      </c>
      <c r="J670" s="65">
        <f>H670*AO670</f>
        <v>1368</v>
      </c>
      <c r="K670" s="65">
        <f>H670*AP670</f>
        <v>0</v>
      </c>
      <c r="L670" s="65">
        <f>H670*I670</f>
        <v>1368</v>
      </c>
      <c r="M670" s="81"/>
      <c r="N670" s="19"/>
      <c r="Z670" s="35">
        <f>IF(AQ670="5",BJ670,0)</f>
        <v>0</v>
      </c>
      <c r="AB670" s="35">
        <f>IF(AQ670="1",BH670,0)</f>
        <v>0</v>
      </c>
      <c r="AC670" s="35">
        <f>IF(AQ670="1",BI670,0)</f>
        <v>0</v>
      </c>
      <c r="AD670" s="35">
        <f>IF(AQ670="7",BH670,0)</f>
        <v>1368</v>
      </c>
      <c r="AE670" s="35">
        <f>IF(AQ670="7",BI670,0)</f>
        <v>0</v>
      </c>
      <c r="AF670" s="35">
        <f>IF(AQ670="2",BH670,0)</f>
        <v>0</v>
      </c>
      <c r="AG670" s="35">
        <f>IF(AQ670="2",BI670,0)</f>
        <v>0</v>
      </c>
      <c r="AH670" s="35">
        <f>IF(AQ670="0",BJ670,0)</f>
        <v>0</v>
      </c>
      <c r="AI670" s="83" t="s">
        <v>66</v>
      </c>
      <c r="AJ670" s="65">
        <f>IF(AN670=0,L670,0)</f>
        <v>0</v>
      </c>
      <c r="AK670" s="65">
        <f>IF(AN670=15,L670,0)</f>
        <v>0</v>
      </c>
      <c r="AL670" s="65">
        <f>IF(AN670=21,L670,0)</f>
        <v>1368</v>
      </c>
      <c r="AN670" s="35">
        <v>21</v>
      </c>
      <c r="AO670" s="35">
        <f>I670*1</f>
        <v>228</v>
      </c>
      <c r="AP670" s="35">
        <f>I670*(1-1)</f>
        <v>0</v>
      </c>
      <c r="AQ670" s="85" t="s">
        <v>144</v>
      </c>
      <c r="AV670" s="35">
        <f>AW670+AX670</f>
        <v>1368</v>
      </c>
      <c r="AW670" s="35">
        <f>H670*AO670</f>
        <v>1368</v>
      </c>
      <c r="AX670" s="35">
        <f>H670*AP670</f>
        <v>0</v>
      </c>
      <c r="AY670" s="86" t="s">
        <v>1046</v>
      </c>
      <c r="AZ670" s="86" t="s">
        <v>1073</v>
      </c>
      <c r="BA670" s="83" t="s">
        <v>1080</v>
      </c>
      <c r="BC670" s="35">
        <f>AW670+AX670</f>
        <v>1368</v>
      </c>
      <c r="BD670" s="35">
        <f>I670/(100-BE670)*100</f>
        <v>227.99999999999997</v>
      </c>
      <c r="BE670" s="35">
        <v>0</v>
      </c>
      <c r="BF670" s="35">
        <f>670</f>
        <v>670</v>
      </c>
      <c r="BH670" s="65">
        <f>H670*AO670</f>
        <v>1368</v>
      </c>
      <c r="BI670" s="65">
        <f>H670*AP670</f>
        <v>0</v>
      </c>
      <c r="BJ670" s="65">
        <f>H670*I670</f>
        <v>1368</v>
      </c>
      <c r="BK670" s="65" t="s">
        <v>1001</v>
      </c>
      <c r="BL670" s="35">
        <v>751</v>
      </c>
    </row>
    <row r="671" spans="1:64" x14ac:dyDescent="0.2">
      <c r="A671" s="19"/>
      <c r="C671" s="59" t="s">
        <v>521</v>
      </c>
      <c r="D671" s="180" t="s">
        <v>916</v>
      </c>
      <c r="E671" s="181"/>
      <c r="F671" s="181"/>
      <c r="G671" s="181"/>
      <c r="H671" s="181"/>
      <c r="I671" s="182"/>
      <c r="J671" s="181"/>
      <c r="K671" s="181"/>
      <c r="L671" s="181"/>
      <c r="M671" s="183"/>
      <c r="N671" s="19"/>
    </row>
    <row r="672" spans="1:64" x14ac:dyDescent="0.2">
      <c r="A672" s="49" t="s">
        <v>449</v>
      </c>
      <c r="B672" s="57" t="s">
        <v>66</v>
      </c>
      <c r="C672" s="57" t="s">
        <v>782</v>
      </c>
      <c r="D672" s="186" t="s">
        <v>917</v>
      </c>
      <c r="E672" s="187"/>
      <c r="F672" s="187"/>
      <c r="G672" s="57" t="s">
        <v>1007</v>
      </c>
      <c r="H672" s="65">
        <v>1</v>
      </c>
      <c r="I672" s="73">
        <v>440</v>
      </c>
      <c r="J672" s="65">
        <f>H672*AO672</f>
        <v>440</v>
      </c>
      <c r="K672" s="65">
        <f>H672*AP672</f>
        <v>0</v>
      </c>
      <c r="L672" s="65">
        <f>H672*I672</f>
        <v>440</v>
      </c>
      <c r="M672" s="81"/>
      <c r="N672" s="19"/>
      <c r="Z672" s="35">
        <f>IF(AQ672="5",BJ672,0)</f>
        <v>0</v>
      </c>
      <c r="AB672" s="35">
        <f>IF(AQ672="1",BH672,0)</f>
        <v>0</v>
      </c>
      <c r="AC672" s="35">
        <f>IF(AQ672="1",BI672,0)</f>
        <v>0</v>
      </c>
      <c r="AD672" s="35">
        <f>IF(AQ672="7",BH672,0)</f>
        <v>440</v>
      </c>
      <c r="AE672" s="35">
        <f>IF(AQ672="7",BI672,0)</f>
        <v>0</v>
      </c>
      <c r="AF672" s="35">
        <f>IF(AQ672="2",BH672,0)</f>
        <v>0</v>
      </c>
      <c r="AG672" s="35">
        <f>IF(AQ672="2",BI672,0)</f>
        <v>0</v>
      </c>
      <c r="AH672" s="35">
        <f>IF(AQ672="0",BJ672,0)</f>
        <v>0</v>
      </c>
      <c r="AI672" s="83" t="s">
        <v>66</v>
      </c>
      <c r="AJ672" s="65">
        <f>IF(AN672=0,L672,0)</f>
        <v>0</v>
      </c>
      <c r="AK672" s="65">
        <f>IF(AN672=15,L672,0)</f>
        <v>0</v>
      </c>
      <c r="AL672" s="65">
        <f>IF(AN672=21,L672,0)</f>
        <v>440</v>
      </c>
      <c r="AN672" s="35">
        <v>21</v>
      </c>
      <c r="AO672" s="35">
        <f>I672*1</f>
        <v>440</v>
      </c>
      <c r="AP672" s="35">
        <f>I672*(1-1)</f>
        <v>0</v>
      </c>
      <c r="AQ672" s="85" t="s">
        <v>144</v>
      </c>
      <c r="AV672" s="35">
        <f>AW672+AX672</f>
        <v>440</v>
      </c>
      <c r="AW672" s="35">
        <f>H672*AO672</f>
        <v>440</v>
      </c>
      <c r="AX672" s="35">
        <f>H672*AP672</f>
        <v>0</v>
      </c>
      <c r="AY672" s="86" t="s">
        <v>1046</v>
      </c>
      <c r="AZ672" s="86" t="s">
        <v>1073</v>
      </c>
      <c r="BA672" s="83" t="s">
        <v>1080</v>
      </c>
      <c r="BC672" s="35">
        <f>AW672+AX672</f>
        <v>440</v>
      </c>
      <c r="BD672" s="35">
        <f>I672/(100-BE672)*100</f>
        <v>440.00000000000006</v>
      </c>
      <c r="BE672" s="35">
        <v>0</v>
      </c>
      <c r="BF672" s="35">
        <f>672</f>
        <v>672</v>
      </c>
      <c r="BH672" s="65">
        <f>H672*AO672</f>
        <v>440</v>
      </c>
      <c r="BI672" s="65">
        <f>H672*AP672</f>
        <v>0</v>
      </c>
      <c r="BJ672" s="65">
        <f>H672*I672</f>
        <v>440</v>
      </c>
      <c r="BK672" s="65" t="s">
        <v>1001</v>
      </c>
      <c r="BL672" s="35">
        <v>751</v>
      </c>
    </row>
    <row r="673" spans="1:64" x14ac:dyDescent="0.2">
      <c r="A673" s="19"/>
      <c r="C673" s="59" t="s">
        <v>521</v>
      </c>
      <c r="D673" s="180" t="s">
        <v>917</v>
      </c>
      <c r="E673" s="181"/>
      <c r="F673" s="181"/>
      <c r="G673" s="181"/>
      <c r="H673" s="181"/>
      <c r="I673" s="182"/>
      <c r="J673" s="181"/>
      <c r="K673" s="181"/>
      <c r="L673" s="181"/>
      <c r="M673" s="183"/>
      <c r="N673" s="19"/>
    </row>
    <row r="674" spans="1:64" x14ac:dyDescent="0.2">
      <c r="A674" s="47" t="s">
        <v>450</v>
      </c>
      <c r="B674" s="55" t="s">
        <v>66</v>
      </c>
      <c r="C674" s="55" t="s">
        <v>783</v>
      </c>
      <c r="D674" s="178" t="s">
        <v>918</v>
      </c>
      <c r="E674" s="179"/>
      <c r="F674" s="179"/>
      <c r="G674" s="55" t="s">
        <v>1001</v>
      </c>
      <c r="H674" s="64">
        <v>2</v>
      </c>
      <c r="I674" s="71">
        <v>145</v>
      </c>
      <c r="J674" s="64">
        <f>H674*AO674</f>
        <v>0</v>
      </c>
      <c r="K674" s="64">
        <f>H674*AP674</f>
        <v>290</v>
      </c>
      <c r="L674" s="64">
        <f>H674*I674</f>
        <v>290</v>
      </c>
      <c r="M674" s="79"/>
      <c r="N674" s="19"/>
      <c r="Z674" s="35">
        <f>IF(AQ674="5",BJ674,0)</f>
        <v>0</v>
      </c>
      <c r="AB674" s="35">
        <f>IF(AQ674="1",BH674,0)</f>
        <v>0</v>
      </c>
      <c r="AC674" s="35">
        <f>IF(AQ674="1",BI674,0)</f>
        <v>0</v>
      </c>
      <c r="AD674" s="35">
        <f>IF(AQ674="7",BH674,0)</f>
        <v>0</v>
      </c>
      <c r="AE674" s="35">
        <f>IF(AQ674="7",BI674,0)</f>
        <v>290</v>
      </c>
      <c r="AF674" s="35">
        <f>IF(AQ674="2",BH674,0)</f>
        <v>0</v>
      </c>
      <c r="AG674" s="35">
        <f>IF(AQ674="2",BI674,0)</f>
        <v>0</v>
      </c>
      <c r="AH674" s="35">
        <f>IF(AQ674="0",BJ674,0)</f>
        <v>0</v>
      </c>
      <c r="AI674" s="83" t="s">
        <v>66</v>
      </c>
      <c r="AJ674" s="64">
        <f>IF(AN674=0,L674,0)</f>
        <v>0</v>
      </c>
      <c r="AK674" s="64">
        <f>IF(AN674=15,L674,0)</f>
        <v>0</v>
      </c>
      <c r="AL674" s="64">
        <f>IF(AN674=21,L674,0)</f>
        <v>290</v>
      </c>
      <c r="AN674" s="35">
        <v>21</v>
      </c>
      <c r="AO674" s="35">
        <f>I674*0</f>
        <v>0</v>
      </c>
      <c r="AP674" s="35">
        <f>I674*(1-0)</f>
        <v>145</v>
      </c>
      <c r="AQ674" s="84" t="s">
        <v>144</v>
      </c>
      <c r="AV674" s="35">
        <f>AW674+AX674</f>
        <v>290</v>
      </c>
      <c r="AW674" s="35">
        <f>H674*AO674</f>
        <v>0</v>
      </c>
      <c r="AX674" s="35">
        <f>H674*AP674</f>
        <v>290</v>
      </c>
      <c r="AY674" s="86" t="s">
        <v>1046</v>
      </c>
      <c r="AZ674" s="86" t="s">
        <v>1073</v>
      </c>
      <c r="BA674" s="83" t="s">
        <v>1080</v>
      </c>
      <c r="BC674" s="35">
        <f>AW674+AX674</f>
        <v>290</v>
      </c>
      <c r="BD674" s="35">
        <f>I674/(100-BE674)*100</f>
        <v>145</v>
      </c>
      <c r="BE674" s="35">
        <v>0</v>
      </c>
      <c r="BF674" s="35">
        <f>674</f>
        <v>674</v>
      </c>
      <c r="BH674" s="64">
        <f>H674*AO674</f>
        <v>0</v>
      </c>
      <c r="BI674" s="64">
        <f>H674*AP674</f>
        <v>290</v>
      </c>
      <c r="BJ674" s="64">
        <f>H674*I674</f>
        <v>290</v>
      </c>
      <c r="BK674" s="64" t="s">
        <v>1086</v>
      </c>
      <c r="BL674" s="35">
        <v>751</v>
      </c>
    </row>
    <row r="675" spans="1:64" x14ac:dyDescent="0.2">
      <c r="A675" s="19"/>
      <c r="C675" s="59" t="s">
        <v>521</v>
      </c>
      <c r="D675" s="180" t="s">
        <v>919</v>
      </c>
      <c r="E675" s="181"/>
      <c r="F675" s="181"/>
      <c r="G675" s="181"/>
      <c r="H675" s="181"/>
      <c r="I675" s="182"/>
      <c r="J675" s="181"/>
      <c r="K675" s="181"/>
      <c r="L675" s="181"/>
      <c r="M675" s="183"/>
      <c r="N675" s="19"/>
    </row>
    <row r="676" spans="1:64" x14ac:dyDescent="0.2">
      <c r="A676" s="49" t="s">
        <v>451</v>
      </c>
      <c r="B676" s="57" t="s">
        <v>66</v>
      </c>
      <c r="C676" s="57" t="s">
        <v>784</v>
      </c>
      <c r="D676" s="186" t="s">
        <v>920</v>
      </c>
      <c r="E676" s="187"/>
      <c r="F676" s="187"/>
      <c r="G676" s="57" t="s">
        <v>1001</v>
      </c>
      <c r="H676" s="65">
        <v>2</v>
      </c>
      <c r="I676" s="73">
        <v>135</v>
      </c>
      <c r="J676" s="65">
        <f>H676*AO676</f>
        <v>270</v>
      </c>
      <c r="K676" s="65">
        <f>H676*AP676</f>
        <v>0</v>
      </c>
      <c r="L676" s="65">
        <f>H676*I676</f>
        <v>270</v>
      </c>
      <c r="M676" s="81"/>
      <c r="N676" s="19"/>
      <c r="Z676" s="35">
        <f>IF(AQ676="5",BJ676,0)</f>
        <v>0</v>
      </c>
      <c r="AB676" s="35">
        <f>IF(AQ676="1",BH676,0)</f>
        <v>0</v>
      </c>
      <c r="AC676" s="35">
        <f>IF(AQ676="1",BI676,0)</f>
        <v>0</v>
      </c>
      <c r="AD676" s="35">
        <f>IF(AQ676="7",BH676,0)</f>
        <v>270</v>
      </c>
      <c r="AE676" s="35">
        <f>IF(AQ676="7",BI676,0)</f>
        <v>0</v>
      </c>
      <c r="AF676" s="35">
        <f>IF(AQ676="2",BH676,0)</f>
        <v>0</v>
      </c>
      <c r="AG676" s="35">
        <f>IF(AQ676="2",BI676,0)</f>
        <v>0</v>
      </c>
      <c r="AH676" s="35">
        <f>IF(AQ676="0",BJ676,0)</f>
        <v>0</v>
      </c>
      <c r="AI676" s="83" t="s">
        <v>66</v>
      </c>
      <c r="AJ676" s="65">
        <f>IF(AN676=0,L676,0)</f>
        <v>0</v>
      </c>
      <c r="AK676" s="65">
        <f>IF(AN676=15,L676,0)</f>
        <v>0</v>
      </c>
      <c r="AL676" s="65">
        <f>IF(AN676=21,L676,0)</f>
        <v>270</v>
      </c>
      <c r="AN676" s="35">
        <v>21</v>
      </c>
      <c r="AO676" s="35">
        <f>I676*1</f>
        <v>135</v>
      </c>
      <c r="AP676" s="35">
        <f>I676*(1-1)</f>
        <v>0</v>
      </c>
      <c r="AQ676" s="85" t="s">
        <v>144</v>
      </c>
      <c r="AV676" s="35">
        <f>AW676+AX676</f>
        <v>270</v>
      </c>
      <c r="AW676" s="35">
        <f>H676*AO676</f>
        <v>270</v>
      </c>
      <c r="AX676" s="35">
        <f>H676*AP676</f>
        <v>0</v>
      </c>
      <c r="AY676" s="86" t="s">
        <v>1046</v>
      </c>
      <c r="AZ676" s="86" t="s">
        <v>1073</v>
      </c>
      <c r="BA676" s="83" t="s">
        <v>1080</v>
      </c>
      <c r="BC676" s="35">
        <f>AW676+AX676</f>
        <v>270</v>
      </c>
      <c r="BD676" s="35">
        <f>I676/(100-BE676)*100</f>
        <v>135</v>
      </c>
      <c r="BE676" s="35">
        <v>0</v>
      </c>
      <c r="BF676" s="35">
        <f>676</f>
        <v>676</v>
      </c>
      <c r="BH676" s="65">
        <f>H676*AO676</f>
        <v>270</v>
      </c>
      <c r="BI676" s="65">
        <f>H676*AP676</f>
        <v>0</v>
      </c>
      <c r="BJ676" s="65">
        <f>H676*I676</f>
        <v>270</v>
      </c>
      <c r="BK676" s="65" t="s">
        <v>1001</v>
      </c>
      <c r="BL676" s="35">
        <v>751</v>
      </c>
    </row>
    <row r="677" spans="1:64" x14ac:dyDescent="0.2">
      <c r="A677" s="19"/>
      <c r="C677" s="59" t="s">
        <v>521</v>
      </c>
      <c r="D677" s="180" t="s">
        <v>920</v>
      </c>
      <c r="E677" s="181"/>
      <c r="F677" s="181"/>
      <c r="G677" s="181"/>
      <c r="H677" s="181"/>
      <c r="I677" s="182"/>
      <c r="J677" s="181"/>
      <c r="K677" s="181"/>
      <c r="L677" s="181"/>
      <c r="M677" s="183"/>
      <c r="N677" s="19"/>
    </row>
    <row r="678" spans="1:64" x14ac:dyDescent="0.2">
      <c r="A678" s="47" t="s">
        <v>452</v>
      </c>
      <c r="B678" s="55" t="s">
        <v>66</v>
      </c>
      <c r="C678" s="55" t="s">
        <v>785</v>
      </c>
      <c r="D678" s="178" t="s">
        <v>921</v>
      </c>
      <c r="E678" s="179"/>
      <c r="F678" s="179"/>
      <c r="G678" s="55" t="s">
        <v>1001</v>
      </c>
      <c r="H678" s="64">
        <v>8</v>
      </c>
      <c r="I678" s="71">
        <v>207</v>
      </c>
      <c r="J678" s="64">
        <f>H678*AO678</f>
        <v>0</v>
      </c>
      <c r="K678" s="64">
        <f>H678*AP678</f>
        <v>1656</v>
      </c>
      <c r="L678" s="64">
        <f>H678*I678</f>
        <v>1656</v>
      </c>
      <c r="M678" s="79"/>
      <c r="N678" s="19"/>
      <c r="Z678" s="35">
        <f>IF(AQ678="5",BJ678,0)</f>
        <v>0</v>
      </c>
      <c r="AB678" s="35">
        <f>IF(AQ678="1",BH678,0)</f>
        <v>0</v>
      </c>
      <c r="AC678" s="35">
        <f>IF(AQ678="1",BI678,0)</f>
        <v>0</v>
      </c>
      <c r="AD678" s="35">
        <f>IF(AQ678="7",BH678,0)</f>
        <v>0</v>
      </c>
      <c r="AE678" s="35">
        <f>IF(AQ678="7",BI678,0)</f>
        <v>1656</v>
      </c>
      <c r="AF678" s="35">
        <f>IF(AQ678="2",BH678,0)</f>
        <v>0</v>
      </c>
      <c r="AG678" s="35">
        <f>IF(AQ678="2",BI678,0)</f>
        <v>0</v>
      </c>
      <c r="AH678" s="35">
        <f>IF(AQ678="0",BJ678,0)</f>
        <v>0</v>
      </c>
      <c r="AI678" s="83" t="s">
        <v>66</v>
      </c>
      <c r="AJ678" s="64">
        <f>IF(AN678=0,L678,0)</f>
        <v>0</v>
      </c>
      <c r="AK678" s="64">
        <f>IF(AN678=15,L678,0)</f>
        <v>0</v>
      </c>
      <c r="AL678" s="64">
        <f>IF(AN678=21,L678,0)</f>
        <v>1656</v>
      </c>
      <c r="AN678" s="35">
        <v>21</v>
      </c>
      <c r="AO678" s="35">
        <f>I678*0</f>
        <v>0</v>
      </c>
      <c r="AP678" s="35">
        <f>I678*(1-0)</f>
        <v>207</v>
      </c>
      <c r="AQ678" s="84" t="s">
        <v>144</v>
      </c>
      <c r="AV678" s="35">
        <f>AW678+AX678</f>
        <v>1656</v>
      </c>
      <c r="AW678" s="35">
        <f>H678*AO678</f>
        <v>0</v>
      </c>
      <c r="AX678" s="35">
        <f>H678*AP678</f>
        <v>1656</v>
      </c>
      <c r="AY678" s="86" t="s">
        <v>1046</v>
      </c>
      <c r="AZ678" s="86" t="s">
        <v>1073</v>
      </c>
      <c r="BA678" s="83" t="s">
        <v>1080</v>
      </c>
      <c r="BC678" s="35">
        <f>AW678+AX678</f>
        <v>1656</v>
      </c>
      <c r="BD678" s="35">
        <f>I678/(100-BE678)*100</f>
        <v>206.99999999999997</v>
      </c>
      <c r="BE678" s="35">
        <v>0</v>
      </c>
      <c r="BF678" s="35">
        <f>678</f>
        <v>678</v>
      </c>
      <c r="BH678" s="64">
        <f>H678*AO678</f>
        <v>0</v>
      </c>
      <c r="BI678" s="64">
        <f>H678*AP678</f>
        <v>1656</v>
      </c>
      <c r="BJ678" s="64">
        <f>H678*I678</f>
        <v>1656</v>
      </c>
      <c r="BK678" s="64" t="s">
        <v>1086</v>
      </c>
      <c r="BL678" s="35">
        <v>751</v>
      </c>
    </row>
    <row r="679" spans="1:64" x14ac:dyDescent="0.2">
      <c r="A679" s="19"/>
      <c r="C679" s="59" t="s">
        <v>521</v>
      </c>
      <c r="D679" s="180" t="s">
        <v>921</v>
      </c>
      <c r="E679" s="181"/>
      <c r="F679" s="181"/>
      <c r="G679" s="181"/>
      <c r="H679" s="181"/>
      <c r="I679" s="182"/>
      <c r="J679" s="181"/>
      <c r="K679" s="181"/>
      <c r="L679" s="181"/>
      <c r="M679" s="183"/>
      <c r="N679" s="19"/>
    </row>
    <row r="680" spans="1:64" x14ac:dyDescent="0.2">
      <c r="A680" s="49" t="s">
        <v>453</v>
      </c>
      <c r="B680" s="57" t="s">
        <v>66</v>
      </c>
      <c r="C680" s="57" t="s">
        <v>786</v>
      </c>
      <c r="D680" s="186" t="s">
        <v>922</v>
      </c>
      <c r="E680" s="187"/>
      <c r="F680" s="187"/>
      <c r="G680" s="57" t="s">
        <v>1001</v>
      </c>
      <c r="H680" s="65">
        <v>8</v>
      </c>
      <c r="I680" s="73">
        <v>318</v>
      </c>
      <c r="J680" s="65">
        <f>H680*AO680</f>
        <v>2544</v>
      </c>
      <c r="K680" s="65">
        <f>H680*AP680</f>
        <v>0</v>
      </c>
      <c r="L680" s="65">
        <f>H680*I680</f>
        <v>2544</v>
      </c>
      <c r="M680" s="81"/>
      <c r="N680" s="19"/>
      <c r="Z680" s="35">
        <f>IF(AQ680="5",BJ680,0)</f>
        <v>0</v>
      </c>
      <c r="AB680" s="35">
        <f>IF(AQ680="1",BH680,0)</f>
        <v>0</v>
      </c>
      <c r="AC680" s="35">
        <f>IF(AQ680="1",BI680,0)</f>
        <v>0</v>
      </c>
      <c r="AD680" s="35">
        <f>IF(AQ680="7",BH680,0)</f>
        <v>2544</v>
      </c>
      <c r="AE680" s="35">
        <f>IF(AQ680="7",BI680,0)</f>
        <v>0</v>
      </c>
      <c r="AF680" s="35">
        <f>IF(AQ680="2",BH680,0)</f>
        <v>0</v>
      </c>
      <c r="AG680" s="35">
        <f>IF(AQ680="2",BI680,0)</f>
        <v>0</v>
      </c>
      <c r="AH680" s="35">
        <f>IF(AQ680="0",BJ680,0)</f>
        <v>0</v>
      </c>
      <c r="AI680" s="83" t="s">
        <v>66</v>
      </c>
      <c r="AJ680" s="65">
        <f>IF(AN680=0,L680,0)</f>
        <v>0</v>
      </c>
      <c r="AK680" s="65">
        <f>IF(AN680=15,L680,0)</f>
        <v>0</v>
      </c>
      <c r="AL680" s="65">
        <f>IF(AN680=21,L680,0)</f>
        <v>2544</v>
      </c>
      <c r="AN680" s="35">
        <v>21</v>
      </c>
      <c r="AO680" s="35">
        <f>I680*1</f>
        <v>318</v>
      </c>
      <c r="AP680" s="35">
        <f>I680*(1-1)</f>
        <v>0</v>
      </c>
      <c r="AQ680" s="85" t="s">
        <v>144</v>
      </c>
      <c r="AV680" s="35">
        <f>AW680+AX680</f>
        <v>2544</v>
      </c>
      <c r="AW680" s="35">
        <f>H680*AO680</f>
        <v>2544</v>
      </c>
      <c r="AX680" s="35">
        <f>H680*AP680</f>
        <v>0</v>
      </c>
      <c r="AY680" s="86" t="s">
        <v>1046</v>
      </c>
      <c r="AZ680" s="86" t="s">
        <v>1073</v>
      </c>
      <c r="BA680" s="83" t="s">
        <v>1080</v>
      </c>
      <c r="BC680" s="35">
        <f>AW680+AX680</f>
        <v>2544</v>
      </c>
      <c r="BD680" s="35">
        <f>I680/(100-BE680)*100</f>
        <v>318</v>
      </c>
      <c r="BE680" s="35">
        <v>0</v>
      </c>
      <c r="BF680" s="35">
        <f>680</f>
        <v>680</v>
      </c>
      <c r="BH680" s="65">
        <f>H680*AO680</f>
        <v>2544</v>
      </c>
      <c r="BI680" s="65">
        <f>H680*AP680</f>
        <v>0</v>
      </c>
      <c r="BJ680" s="65">
        <f>H680*I680</f>
        <v>2544</v>
      </c>
      <c r="BK680" s="65" t="s">
        <v>1001</v>
      </c>
      <c r="BL680" s="35">
        <v>751</v>
      </c>
    </row>
    <row r="681" spans="1:64" x14ac:dyDescent="0.2">
      <c r="A681" s="19"/>
      <c r="C681" s="59" t="s">
        <v>521</v>
      </c>
      <c r="D681" s="180" t="s">
        <v>922</v>
      </c>
      <c r="E681" s="181"/>
      <c r="F681" s="181"/>
      <c r="G681" s="181"/>
      <c r="H681" s="181"/>
      <c r="I681" s="182"/>
      <c r="J681" s="181"/>
      <c r="K681" s="181"/>
      <c r="L681" s="181"/>
      <c r="M681" s="183"/>
      <c r="N681" s="19"/>
    </row>
    <row r="682" spans="1:64" x14ac:dyDescent="0.2">
      <c r="A682" s="47" t="s">
        <v>454</v>
      </c>
      <c r="B682" s="55" t="s">
        <v>66</v>
      </c>
      <c r="C682" s="55" t="s">
        <v>592</v>
      </c>
      <c r="D682" s="178" t="s">
        <v>923</v>
      </c>
      <c r="E682" s="179"/>
      <c r="F682" s="179"/>
      <c r="G682" s="55" t="s">
        <v>1003</v>
      </c>
      <c r="H682" s="64">
        <v>2</v>
      </c>
      <c r="I682" s="71">
        <v>99</v>
      </c>
      <c r="J682" s="64">
        <f>H682*AO682</f>
        <v>0</v>
      </c>
      <c r="K682" s="64">
        <f>H682*AP682</f>
        <v>198</v>
      </c>
      <c r="L682" s="64">
        <f>H682*I682</f>
        <v>198</v>
      </c>
      <c r="M682" s="79"/>
      <c r="N682" s="19"/>
      <c r="Z682" s="35">
        <f>IF(AQ682="5",BJ682,0)</f>
        <v>0</v>
      </c>
      <c r="AB682" s="35">
        <f>IF(AQ682="1",BH682,0)</f>
        <v>0</v>
      </c>
      <c r="AC682" s="35">
        <f>IF(AQ682="1",BI682,0)</f>
        <v>0</v>
      </c>
      <c r="AD682" s="35">
        <f>IF(AQ682="7",BH682,0)</f>
        <v>0</v>
      </c>
      <c r="AE682" s="35">
        <f>IF(AQ682="7",BI682,0)</f>
        <v>198</v>
      </c>
      <c r="AF682" s="35">
        <f>IF(AQ682="2",BH682,0)</f>
        <v>0</v>
      </c>
      <c r="AG682" s="35">
        <f>IF(AQ682="2",BI682,0)</f>
        <v>0</v>
      </c>
      <c r="AH682" s="35">
        <f>IF(AQ682="0",BJ682,0)</f>
        <v>0</v>
      </c>
      <c r="AI682" s="83" t="s">
        <v>66</v>
      </c>
      <c r="AJ682" s="64">
        <f>IF(AN682=0,L682,0)</f>
        <v>0</v>
      </c>
      <c r="AK682" s="64">
        <f>IF(AN682=15,L682,0)</f>
        <v>0</v>
      </c>
      <c r="AL682" s="64">
        <f>IF(AN682=21,L682,0)</f>
        <v>198</v>
      </c>
      <c r="AN682" s="35">
        <v>21</v>
      </c>
      <c r="AO682" s="35">
        <f>I682*0</f>
        <v>0</v>
      </c>
      <c r="AP682" s="35">
        <f>I682*(1-0)</f>
        <v>99</v>
      </c>
      <c r="AQ682" s="84" t="s">
        <v>144</v>
      </c>
      <c r="AV682" s="35">
        <f>AW682+AX682</f>
        <v>198</v>
      </c>
      <c r="AW682" s="35">
        <f>H682*AO682</f>
        <v>0</v>
      </c>
      <c r="AX682" s="35">
        <f>H682*AP682</f>
        <v>198</v>
      </c>
      <c r="AY682" s="86" t="s">
        <v>1046</v>
      </c>
      <c r="AZ682" s="86" t="s">
        <v>1073</v>
      </c>
      <c r="BA682" s="83" t="s">
        <v>1080</v>
      </c>
      <c r="BC682" s="35">
        <f>AW682+AX682</f>
        <v>198</v>
      </c>
      <c r="BD682" s="35">
        <f>I682/(100-BE682)*100</f>
        <v>99</v>
      </c>
      <c r="BE682" s="35">
        <v>0</v>
      </c>
      <c r="BF682" s="35">
        <f>682</f>
        <v>682</v>
      </c>
      <c r="BH682" s="64">
        <f>H682*AO682</f>
        <v>0</v>
      </c>
      <c r="BI682" s="64">
        <f>H682*AP682</f>
        <v>198</v>
      </c>
      <c r="BJ682" s="64">
        <f>H682*I682</f>
        <v>198</v>
      </c>
      <c r="BK682" s="64" t="s">
        <v>1086</v>
      </c>
      <c r="BL682" s="35">
        <v>751</v>
      </c>
    </row>
    <row r="683" spans="1:64" x14ac:dyDescent="0.2">
      <c r="A683" s="19"/>
      <c r="C683" s="59" t="s">
        <v>521</v>
      </c>
      <c r="D683" s="180" t="s">
        <v>924</v>
      </c>
      <c r="E683" s="181"/>
      <c r="F683" s="181"/>
      <c r="G683" s="181"/>
      <c r="H683" s="181"/>
      <c r="I683" s="182"/>
      <c r="J683" s="181"/>
      <c r="K683" s="181"/>
      <c r="L683" s="181"/>
      <c r="M683" s="183"/>
      <c r="N683" s="19"/>
    </row>
    <row r="684" spans="1:64" x14ac:dyDescent="0.2">
      <c r="A684" s="49" t="s">
        <v>455</v>
      </c>
      <c r="B684" s="57" t="s">
        <v>66</v>
      </c>
      <c r="C684" s="57" t="s">
        <v>787</v>
      </c>
      <c r="D684" s="186" t="s">
        <v>925</v>
      </c>
      <c r="E684" s="187"/>
      <c r="F684" s="187"/>
      <c r="G684" s="57" t="s">
        <v>1003</v>
      </c>
      <c r="H684" s="65">
        <v>2</v>
      </c>
      <c r="I684" s="73">
        <v>211</v>
      </c>
      <c r="J684" s="65">
        <f>H684*AO684</f>
        <v>422</v>
      </c>
      <c r="K684" s="65">
        <f>H684*AP684</f>
        <v>0</v>
      </c>
      <c r="L684" s="65">
        <f>H684*I684</f>
        <v>422</v>
      </c>
      <c r="M684" s="81"/>
      <c r="N684" s="19"/>
      <c r="Z684" s="35">
        <f>IF(AQ684="5",BJ684,0)</f>
        <v>0</v>
      </c>
      <c r="AB684" s="35">
        <f>IF(AQ684="1",BH684,0)</f>
        <v>0</v>
      </c>
      <c r="AC684" s="35">
        <f>IF(AQ684="1",BI684,0)</f>
        <v>0</v>
      </c>
      <c r="AD684" s="35">
        <f>IF(AQ684="7",BH684,0)</f>
        <v>422</v>
      </c>
      <c r="AE684" s="35">
        <f>IF(AQ684="7",BI684,0)</f>
        <v>0</v>
      </c>
      <c r="AF684" s="35">
        <f>IF(AQ684="2",BH684,0)</f>
        <v>0</v>
      </c>
      <c r="AG684" s="35">
        <f>IF(AQ684="2",BI684,0)</f>
        <v>0</v>
      </c>
      <c r="AH684" s="35">
        <f>IF(AQ684="0",BJ684,0)</f>
        <v>0</v>
      </c>
      <c r="AI684" s="83" t="s">
        <v>66</v>
      </c>
      <c r="AJ684" s="65">
        <f>IF(AN684=0,L684,0)</f>
        <v>0</v>
      </c>
      <c r="AK684" s="65">
        <f>IF(AN684=15,L684,0)</f>
        <v>0</v>
      </c>
      <c r="AL684" s="65">
        <f>IF(AN684=21,L684,0)</f>
        <v>422</v>
      </c>
      <c r="AN684" s="35">
        <v>21</v>
      </c>
      <c r="AO684" s="35">
        <f>I684*1</f>
        <v>211</v>
      </c>
      <c r="AP684" s="35">
        <f>I684*(1-1)</f>
        <v>0</v>
      </c>
      <c r="AQ684" s="85" t="s">
        <v>144</v>
      </c>
      <c r="AV684" s="35">
        <f>AW684+AX684</f>
        <v>422</v>
      </c>
      <c r="AW684" s="35">
        <f>H684*AO684</f>
        <v>422</v>
      </c>
      <c r="AX684" s="35">
        <f>H684*AP684</f>
        <v>0</v>
      </c>
      <c r="AY684" s="86" t="s">
        <v>1046</v>
      </c>
      <c r="AZ684" s="86" t="s">
        <v>1073</v>
      </c>
      <c r="BA684" s="83" t="s">
        <v>1080</v>
      </c>
      <c r="BC684" s="35">
        <f>AW684+AX684</f>
        <v>422</v>
      </c>
      <c r="BD684" s="35">
        <f>I684/(100-BE684)*100</f>
        <v>211</v>
      </c>
      <c r="BE684" s="35">
        <v>0</v>
      </c>
      <c r="BF684" s="35">
        <f>684</f>
        <v>684</v>
      </c>
      <c r="BH684" s="65">
        <f>H684*AO684</f>
        <v>422</v>
      </c>
      <c r="BI684" s="65">
        <f>H684*AP684</f>
        <v>0</v>
      </c>
      <c r="BJ684" s="65">
        <f>H684*I684</f>
        <v>422</v>
      </c>
      <c r="BK684" s="65" t="s">
        <v>1001</v>
      </c>
      <c r="BL684" s="35">
        <v>751</v>
      </c>
    </row>
    <row r="685" spans="1:64" x14ac:dyDescent="0.2">
      <c r="A685" s="19"/>
      <c r="C685" s="59" t="s">
        <v>521</v>
      </c>
      <c r="D685" s="180" t="s">
        <v>925</v>
      </c>
      <c r="E685" s="181"/>
      <c r="F685" s="181"/>
      <c r="G685" s="181"/>
      <c r="H685" s="181"/>
      <c r="I685" s="182"/>
      <c r="J685" s="181"/>
      <c r="K685" s="181"/>
      <c r="L685" s="181"/>
      <c r="M685" s="183"/>
      <c r="N685" s="19"/>
    </row>
    <row r="686" spans="1:64" x14ac:dyDescent="0.2">
      <c r="A686" s="47" t="s">
        <v>456</v>
      </c>
      <c r="B686" s="55" t="s">
        <v>66</v>
      </c>
      <c r="C686" s="55" t="s">
        <v>594</v>
      </c>
      <c r="D686" s="178" t="s">
        <v>926</v>
      </c>
      <c r="E686" s="179"/>
      <c r="F686" s="179"/>
      <c r="G686" s="55" t="s">
        <v>1003</v>
      </c>
      <c r="H686" s="64">
        <v>4</v>
      </c>
      <c r="I686" s="71">
        <v>121</v>
      </c>
      <c r="J686" s="64">
        <f>H686*AO686</f>
        <v>0</v>
      </c>
      <c r="K686" s="64">
        <f>H686*AP686</f>
        <v>484</v>
      </c>
      <c r="L686" s="64">
        <f>H686*I686</f>
        <v>484</v>
      </c>
      <c r="M686" s="79"/>
      <c r="N686" s="19"/>
      <c r="Z686" s="35">
        <f>IF(AQ686="5",BJ686,0)</f>
        <v>0</v>
      </c>
      <c r="AB686" s="35">
        <f>IF(AQ686="1",BH686,0)</f>
        <v>0</v>
      </c>
      <c r="AC686" s="35">
        <f>IF(AQ686="1",BI686,0)</f>
        <v>0</v>
      </c>
      <c r="AD686" s="35">
        <f>IF(AQ686="7",BH686,0)</f>
        <v>0</v>
      </c>
      <c r="AE686" s="35">
        <f>IF(AQ686="7",BI686,0)</f>
        <v>484</v>
      </c>
      <c r="AF686" s="35">
        <f>IF(AQ686="2",BH686,0)</f>
        <v>0</v>
      </c>
      <c r="AG686" s="35">
        <f>IF(AQ686="2",BI686,0)</f>
        <v>0</v>
      </c>
      <c r="AH686" s="35">
        <f>IF(AQ686="0",BJ686,0)</f>
        <v>0</v>
      </c>
      <c r="AI686" s="83" t="s">
        <v>66</v>
      </c>
      <c r="AJ686" s="64">
        <f>IF(AN686=0,L686,0)</f>
        <v>0</v>
      </c>
      <c r="AK686" s="64">
        <f>IF(AN686=15,L686,0)</f>
        <v>0</v>
      </c>
      <c r="AL686" s="64">
        <f>IF(AN686=21,L686,0)</f>
        <v>484</v>
      </c>
      <c r="AN686" s="35">
        <v>21</v>
      </c>
      <c r="AO686" s="35">
        <f>I686*0</f>
        <v>0</v>
      </c>
      <c r="AP686" s="35">
        <f>I686*(1-0)</f>
        <v>121</v>
      </c>
      <c r="AQ686" s="84" t="s">
        <v>144</v>
      </c>
      <c r="AV686" s="35">
        <f>AW686+AX686</f>
        <v>484</v>
      </c>
      <c r="AW686" s="35">
        <f>H686*AO686</f>
        <v>0</v>
      </c>
      <c r="AX686" s="35">
        <f>H686*AP686</f>
        <v>484</v>
      </c>
      <c r="AY686" s="86" t="s">
        <v>1046</v>
      </c>
      <c r="AZ686" s="86" t="s">
        <v>1073</v>
      </c>
      <c r="BA686" s="83" t="s">
        <v>1080</v>
      </c>
      <c r="BC686" s="35">
        <f>AW686+AX686</f>
        <v>484</v>
      </c>
      <c r="BD686" s="35">
        <f>I686/(100-BE686)*100</f>
        <v>121</v>
      </c>
      <c r="BE686" s="35">
        <v>0</v>
      </c>
      <c r="BF686" s="35">
        <f>686</f>
        <v>686</v>
      </c>
      <c r="BH686" s="64">
        <f>H686*AO686</f>
        <v>0</v>
      </c>
      <c r="BI686" s="64">
        <f>H686*AP686</f>
        <v>484</v>
      </c>
      <c r="BJ686" s="64">
        <f>H686*I686</f>
        <v>484</v>
      </c>
      <c r="BK686" s="64" t="s">
        <v>1086</v>
      </c>
      <c r="BL686" s="35">
        <v>751</v>
      </c>
    </row>
    <row r="687" spans="1:64" x14ac:dyDescent="0.2">
      <c r="A687" s="19"/>
      <c r="C687" s="59" t="s">
        <v>521</v>
      </c>
      <c r="D687" s="180" t="s">
        <v>927</v>
      </c>
      <c r="E687" s="181"/>
      <c r="F687" s="181"/>
      <c r="G687" s="181"/>
      <c r="H687" s="181"/>
      <c r="I687" s="182"/>
      <c r="J687" s="181"/>
      <c r="K687" s="181"/>
      <c r="L687" s="181"/>
      <c r="M687" s="183"/>
      <c r="N687" s="19"/>
    </row>
    <row r="688" spans="1:64" x14ac:dyDescent="0.2">
      <c r="A688" s="49" t="s">
        <v>457</v>
      </c>
      <c r="B688" s="57" t="s">
        <v>66</v>
      </c>
      <c r="C688" s="57" t="s">
        <v>788</v>
      </c>
      <c r="D688" s="186" t="s">
        <v>928</v>
      </c>
      <c r="E688" s="187"/>
      <c r="F688" s="187"/>
      <c r="G688" s="57" t="s">
        <v>1003</v>
      </c>
      <c r="H688" s="65">
        <v>4</v>
      </c>
      <c r="I688" s="73">
        <v>397</v>
      </c>
      <c r="J688" s="65">
        <f>H688*AO688</f>
        <v>1588</v>
      </c>
      <c r="K688" s="65">
        <f>H688*AP688</f>
        <v>0</v>
      </c>
      <c r="L688" s="65">
        <f>H688*I688</f>
        <v>1588</v>
      </c>
      <c r="M688" s="81"/>
      <c r="N688" s="19"/>
      <c r="Z688" s="35">
        <f>IF(AQ688="5",BJ688,0)</f>
        <v>0</v>
      </c>
      <c r="AB688" s="35">
        <f>IF(AQ688="1",BH688,0)</f>
        <v>0</v>
      </c>
      <c r="AC688" s="35">
        <f>IF(AQ688="1",BI688,0)</f>
        <v>0</v>
      </c>
      <c r="AD688" s="35">
        <f>IF(AQ688="7",BH688,0)</f>
        <v>1588</v>
      </c>
      <c r="AE688" s="35">
        <f>IF(AQ688="7",BI688,0)</f>
        <v>0</v>
      </c>
      <c r="AF688" s="35">
        <f>IF(AQ688="2",BH688,0)</f>
        <v>0</v>
      </c>
      <c r="AG688" s="35">
        <f>IF(AQ688="2",BI688,0)</f>
        <v>0</v>
      </c>
      <c r="AH688" s="35">
        <f>IF(AQ688="0",BJ688,0)</f>
        <v>0</v>
      </c>
      <c r="AI688" s="83" t="s">
        <v>66</v>
      </c>
      <c r="AJ688" s="65">
        <f>IF(AN688=0,L688,0)</f>
        <v>0</v>
      </c>
      <c r="AK688" s="65">
        <f>IF(AN688=15,L688,0)</f>
        <v>0</v>
      </c>
      <c r="AL688" s="65">
        <f>IF(AN688=21,L688,0)</f>
        <v>1588</v>
      </c>
      <c r="AN688" s="35">
        <v>21</v>
      </c>
      <c r="AO688" s="35">
        <f>I688*1</f>
        <v>397</v>
      </c>
      <c r="AP688" s="35">
        <f>I688*(1-1)</f>
        <v>0</v>
      </c>
      <c r="AQ688" s="85" t="s">
        <v>144</v>
      </c>
      <c r="AV688" s="35">
        <f>AW688+AX688</f>
        <v>1588</v>
      </c>
      <c r="AW688" s="35">
        <f>H688*AO688</f>
        <v>1588</v>
      </c>
      <c r="AX688" s="35">
        <f>H688*AP688</f>
        <v>0</v>
      </c>
      <c r="AY688" s="86" t="s">
        <v>1046</v>
      </c>
      <c r="AZ688" s="86" t="s">
        <v>1073</v>
      </c>
      <c r="BA688" s="83" t="s">
        <v>1080</v>
      </c>
      <c r="BC688" s="35">
        <f>AW688+AX688</f>
        <v>1588</v>
      </c>
      <c r="BD688" s="35">
        <f>I688/(100-BE688)*100</f>
        <v>397</v>
      </c>
      <c r="BE688" s="35">
        <v>0</v>
      </c>
      <c r="BF688" s="35">
        <f>688</f>
        <v>688</v>
      </c>
      <c r="BH688" s="65">
        <f>H688*AO688</f>
        <v>1588</v>
      </c>
      <c r="BI688" s="65">
        <f>H688*AP688</f>
        <v>0</v>
      </c>
      <c r="BJ688" s="65">
        <f>H688*I688</f>
        <v>1588</v>
      </c>
      <c r="BK688" s="65" t="s">
        <v>1001</v>
      </c>
      <c r="BL688" s="35">
        <v>751</v>
      </c>
    </row>
    <row r="689" spans="1:64" x14ac:dyDescent="0.2">
      <c r="A689" s="19"/>
      <c r="C689" s="59" t="s">
        <v>521</v>
      </c>
      <c r="D689" s="180" t="s">
        <v>928</v>
      </c>
      <c r="E689" s="181"/>
      <c r="F689" s="181"/>
      <c r="G689" s="181"/>
      <c r="H689" s="181"/>
      <c r="I689" s="182"/>
      <c r="J689" s="181"/>
      <c r="K689" s="181"/>
      <c r="L689" s="181"/>
      <c r="M689" s="183"/>
      <c r="N689" s="19"/>
    </row>
    <row r="690" spans="1:64" x14ac:dyDescent="0.2">
      <c r="A690" s="47" t="s">
        <v>458</v>
      </c>
      <c r="B690" s="55" t="s">
        <v>66</v>
      </c>
      <c r="C690" s="55" t="s">
        <v>596</v>
      </c>
      <c r="D690" s="178" t="s">
        <v>929</v>
      </c>
      <c r="E690" s="179"/>
      <c r="F690" s="179"/>
      <c r="G690" s="55" t="s">
        <v>1001</v>
      </c>
      <c r="H690" s="64">
        <v>26</v>
      </c>
      <c r="I690" s="71">
        <v>336</v>
      </c>
      <c r="J690" s="64">
        <f>H690*AO690</f>
        <v>0</v>
      </c>
      <c r="K690" s="64">
        <f>H690*AP690</f>
        <v>8736</v>
      </c>
      <c r="L690" s="64">
        <f>H690*I690</f>
        <v>8736</v>
      </c>
      <c r="M690" s="79"/>
      <c r="N690" s="19"/>
      <c r="Z690" s="35">
        <f>IF(AQ690="5",BJ690,0)</f>
        <v>0</v>
      </c>
      <c r="AB690" s="35">
        <f>IF(AQ690="1",BH690,0)</f>
        <v>0</v>
      </c>
      <c r="AC690" s="35">
        <f>IF(AQ690="1",BI690,0)</f>
        <v>0</v>
      </c>
      <c r="AD690" s="35">
        <f>IF(AQ690="7",BH690,0)</f>
        <v>0</v>
      </c>
      <c r="AE690" s="35">
        <f>IF(AQ690="7",BI690,0)</f>
        <v>8736</v>
      </c>
      <c r="AF690" s="35">
        <f>IF(AQ690="2",BH690,0)</f>
        <v>0</v>
      </c>
      <c r="AG690" s="35">
        <f>IF(AQ690="2",BI690,0)</f>
        <v>0</v>
      </c>
      <c r="AH690" s="35">
        <f>IF(AQ690="0",BJ690,0)</f>
        <v>0</v>
      </c>
      <c r="AI690" s="83" t="s">
        <v>66</v>
      </c>
      <c r="AJ690" s="64">
        <f>IF(AN690=0,L690,0)</f>
        <v>0</v>
      </c>
      <c r="AK690" s="64">
        <f>IF(AN690=15,L690,0)</f>
        <v>0</v>
      </c>
      <c r="AL690" s="64">
        <f>IF(AN690=21,L690,0)</f>
        <v>8736</v>
      </c>
      <c r="AN690" s="35">
        <v>21</v>
      </c>
      <c r="AO690" s="35">
        <f>I690*0</f>
        <v>0</v>
      </c>
      <c r="AP690" s="35">
        <f>I690*(1-0)</f>
        <v>336</v>
      </c>
      <c r="AQ690" s="84" t="s">
        <v>144</v>
      </c>
      <c r="AV690" s="35">
        <f>AW690+AX690</f>
        <v>8736</v>
      </c>
      <c r="AW690" s="35">
        <f>H690*AO690</f>
        <v>0</v>
      </c>
      <c r="AX690" s="35">
        <f>H690*AP690</f>
        <v>8736</v>
      </c>
      <c r="AY690" s="86" t="s">
        <v>1046</v>
      </c>
      <c r="AZ690" s="86" t="s">
        <v>1073</v>
      </c>
      <c r="BA690" s="83" t="s">
        <v>1080</v>
      </c>
      <c r="BC690" s="35">
        <f>AW690+AX690</f>
        <v>8736</v>
      </c>
      <c r="BD690" s="35">
        <f>I690/(100-BE690)*100</f>
        <v>336</v>
      </c>
      <c r="BE690" s="35">
        <v>0</v>
      </c>
      <c r="BF690" s="35">
        <f>690</f>
        <v>690</v>
      </c>
      <c r="BH690" s="64">
        <f>H690*AO690</f>
        <v>0</v>
      </c>
      <c r="BI690" s="64">
        <f>H690*AP690</f>
        <v>8736</v>
      </c>
      <c r="BJ690" s="64">
        <f>H690*I690</f>
        <v>8736</v>
      </c>
      <c r="BK690" s="64" t="s">
        <v>1086</v>
      </c>
      <c r="BL690" s="35">
        <v>751</v>
      </c>
    </row>
    <row r="691" spans="1:64" x14ac:dyDescent="0.2">
      <c r="A691" s="19"/>
      <c r="C691" s="59" t="s">
        <v>521</v>
      </c>
      <c r="D691" s="180" t="s">
        <v>929</v>
      </c>
      <c r="E691" s="181"/>
      <c r="F691" s="181"/>
      <c r="G691" s="181"/>
      <c r="H691" s="181"/>
      <c r="I691" s="182"/>
      <c r="J691" s="181"/>
      <c r="K691" s="181"/>
      <c r="L691" s="181"/>
      <c r="M691" s="183"/>
      <c r="N691" s="19"/>
    </row>
    <row r="692" spans="1:64" x14ac:dyDescent="0.2">
      <c r="A692" s="49" t="s">
        <v>459</v>
      </c>
      <c r="B692" s="57" t="s">
        <v>66</v>
      </c>
      <c r="C692" s="57" t="s">
        <v>789</v>
      </c>
      <c r="D692" s="186" t="s">
        <v>930</v>
      </c>
      <c r="E692" s="187"/>
      <c r="F692" s="187"/>
      <c r="G692" s="57" t="s">
        <v>1001</v>
      </c>
      <c r="H692" s="65">
        <v>5</v>
      </c>
      <c r="I692" s="73">
        <v>401</v>
      </c>
      <c r="J692" s="65">
        <f>H692*AO692</f>
        <v>2005</v>
      </c>
      <c r="K692" s="65">
        <f>H692*AP692</f>
        <v>0</v>
      </c>
      <c r="L692" s="65">
        <f>H692*I692</f>
        <v>2005</v>
      </c>
      <c r="M692" s="81"/>
      <c r="N692" s="19"/>
      <c r="Z692" s="35">
        <f>IF(AQ692="5",BJ692,0)</f>
        <v>0</v>
      </c>
      <c r="AB692" s="35">
        <f>IF(AQ692="1",BH692,0)</f>
        <v>0</v>
      </c>
      <c r="AC692" s="35">
        <f>IF(AQ692="1",BI692,0)</f>
        <v>0</v>
      </c>
      <c r="AD692" s="35">
        <f>IF(AQ692="7",BH692,0)</f>
        <v>2005</v>
      </c>
      <c r="AE692" s="35">
        <f>IF(AQ692="7",BI692,0)</f>
        <v>0</v>
      </c>
      <c r="AF692" s="35">
        <f>IF(AQ692="2",BH692,0)</f>
        <v>0</v>
      </c>
      <c r="AG692" s="35">
        <f>IF(AQ692="2",BI692,0)</f>
        <v>0</v>
      </c>
      <c r="AH692" s="35">
        <f>IF(AQ692="0",BJ692,0)</f>
        <v>0</v>
      </c>
      <c r="AI692" s="83" t="s">
        <v>66</v>
      </c>
      <c r="AJ692" s="65">
        <f>IF(AN692=0,L692,0)</f>
        <v>0</v>
      </c>
      <c r="AK692" s="65">
        <f>IF(AN692=15,L692,0)</f>
        <v>0</v>
      </c>
      <c r="AL692" s="65">
        <f>IF(AN692=21,L692,0)</f>
        <v>2005</v>
      </c>
      <c r="AN692" s="35">
        <v>21</v>
      </c>
      <c r="AO692" s="35">
        <f>I692*1</f>
        <v>401</v>
      </c>
      <c r="AP692" s="35">
        <f>I692*(1-1)</f>
        <v>0</v>
      </c>
      <c r="AQ692" s="85" t="s">
        <v>144</v>
      </c>
      <c r="AV692" s="35">
        <f>AW692+AX692</f>
        <v>2005</v>
      </c>
      <c r="AW692" s="35">
        <f>H692*AO692</f>
        <v>2005</v>
      </c>
      <c r="AX692" s="35">
        <f>H692*AP692</f>
        <v>0</v>
      </c>
      <c r="AY692" s="86" t="s">
        <v>1046</v>
      </c>
      <c r="AZ692" s="86" t="s">
        <v>1073</v>
      </c>
      <c r="BA692" s="83" t="s">
        <v>1080</v>
      </c>
      <c r="BC692" s="35">
        <f>AW692+AX692</f>
        <v>2005</v>
      </c>
      <c r="BD692" s="35">
        <f>I692/(100-BE692)*100</f>
        <v>401</v>
      </c>
      <c r="BE692" s="35">
        <v>0</v>
      </c>
      <c r="BF692" s="35">
        <f>692</f>
        <v>692</v>
      </c>
      <c r="BH692" s="65">
        <f>H692*AO692</f>
        <v>2005</v>
      </c>
      <c r="BI692" s="65">
        <f>H692*AP692</f>
        <v>0</v>
      </c>
      <c r="BJ692" s="65">
        <f>H692*I692</f>
        <v>2005</v>
      </c>
      <c r="BK692" s="65" t="s">
        <v>1001</v>
      </c>
      <c r="BL692" s="35">
        <v>751</v>
      </c>
    </row>
    <row r="693" spans="1:64" x14ac:dyDescent="0.2">
      <c r="A693" s="19"/>
      <c r="C693" s="59" t="s">
        <v>521</v>
      </c>
      <c r="D693" s="180" t="s">
        <v>930</v>
      </c>
      <c r="E693" s="181"/>
      <c r="F693" s="181"/>
      <c r="G693" s="181"/>
      <c r="H693" s="181"/>
      <c r="I693" s="182"/>
      <c r="J693" s="181"/>
      <c r="K693" s="181"/>
      <c r="L693" s="181"/>
      <c r="M693" s="183"/>
      <c r="N693" s="19"/>
    </row>
    <row r="694" spans="1:64" x14ac:dyDescent="0.2">
      <c r="A694" s="49" t="s">
        <v>460</v>
      </c>
      <c r="B694" s="57" t="s">
        <v>66</v>
      </c>
      <c r="C694" s="57" t="s">
        <v>790</v>
      </c>
      <c r="D694" s="186" t="s">
        <v>931</v>
      </c>
      <c r="E694" s="187"/>
      <c r="F694" s="187"/>
      <c r="G694" s="57" t="s">
        <v>1001</v>
      </c>
      <c r="H694" s="65">
        <v>3</v>
      </c>
      <c r="I694" s="73">
        <v>401</v>
      </c>
      <c r="J694" s="65">
        <f>H694*AO694</f>
        <v>1203</v>
      </c>
      <c r="K694" s="65">
        <f>H694*AP694</f>
        <v>0</v>
      </c>
      <c r="L694" s="65">
        <f>H694*I694</f>
        <v>1203</v>
      </c>
      <c r="M694" s="81"/>
      <c r="N694" s="19"/>
      <c r="Z694" s="35">
        <f>IF(AQ694="5",BJ694,0)</f>
        <v>0</v>
      </c>
      <c r="AB694" s="35">
        <f>IF(AQ694="1",BH694,0)</f>
        <v>0</v>
      </c>
      <c r="AC694" s="35">
        <f>IF(AQ694="1",BI694,0)</f>
        <v>0</v>
      </c>
      <c r="AD694" s="35">
        <f>IF(AQ694="7",BH694,0)</f>
        <v>1203</v>
      </c>
      <c r="AE694" s="35">
        <f>IF(AQ694="7",BI694,0)</f>
        <v>0</v>
      </c>
      <c r="AF694" s="35">
        <f>IF(AQ694="2",BH694,0)</f>
        <v>0</v>
      </c>
      <c r="AG694" s="35">
        <f>IF(AQ694="2",BI694,0)</f>
        <v>0</v>
      </c>
      <c r="AH694" s="35">
        <f>IF(AQ694="0",BJ694,0)</f>
        <v>0</v>
      </c>
      <c r="AI694" s="83" t="s">
        <v>66</v>
      </c>
      <c r="AJ694" s="65">
        <f>IF(AN694=0,L694,0)</f>
        <v>0</v>
      </c>
      <c r="AK694" s="65">
        <f>IF(AN694=15,L694,0)</f>
        <v>0</v>
      </c>
      <c r="AL694" s="65">
        <f>IF(AN694=21,L694,0)</f>
        <v>1203</v>
      </c>
      <c r="AN694" s="35">
        <v>21</v>
      </c>
      <c r="AO694" s="35">
        <f>I694*1</f>
        <v>401</v>
      </c>
      <c r="AP694" s="35">
        <f>I694*(1-1)</f>
        <v>0</v>
      </c>
      <c r="AQ694" s="85" t="s">
        <v>144</v>
      </c>
      <c r="AV694" s="35">
        <f>AW694+AX694</f>
        <v>1203</v>
      </c>
      <c r="AW694" s="35">
        <f>H694*AO694</f>
        <v>1203</v>
      </c>
      <c r="AX694" s="35">
        <f>H694*AP694</f>
        <v>0</v>
      </c>
      <c r="AY694" s="86" t="s">
        <v>1046</v>
      </c>
      <c r="AZ694" s="86" t="s">
        <v>1073</v>
      </c>
      <c r="BA694" s="83" t="s">
        <v>1080</v>
      </c>
      <c r="BC694" s="35">
        <f>AW694+AX694</f>
        <v>1203</v>
      </c>
      <c r="BD694" s="35">
        <f>I694/(100-BE694)*100</f>
        <v>401</v>
      </c>
      <c r="BE694" s="35">
        <v>0</v>
      </c>
      <c r="BF694" s="35">
        <f>694</f>
        <v>694</v>
      </c>
      <c r="BH694" s="65">
        <f>H694*AO694</f>
        <v>1203</v>
      </c>
      <c r="BI694" s="65">
        <f>H694*AP694</f>
        <v>0</v>
      </c>
      <c r="BJ694" s="65">
        <f>H694*I694</f>
        <v>1203</v>
      </c>
      <c r="BK694" s="65" t="s">
        <v>1001</v>
      </c>
      <c r="BL694" s="35">
        <v>751</v>
      </c>
    </row>
    <row r="695" spans="1:64" x14ac:dyDescent="0.2">
      <c r="A695" s="19"/>
      <c r="C695" s="59" t="s">
        <v>521</v>
      </c>
      <c r="D695" s="180" t="s">
        <v>932</v>
      </c>
      <c r="E695" s="181"/>
      <c r="F695" s="181"/>
      <c r="G695" s="181"/>
      <c r="H695" s="181"/>
      <c r="I695" s="182"/>
      <c r="J695" s="181"/>
      <c r="K695" s="181"/>
      <c r="L695" s="181"/>
      <c r="M695" s="183"/>
      <c r="N695" s="19"/>
    </row>
    <row r="696" spans="1:64" x14ac:dyDescent="0.2">
      <c r="A696" s="49" t="s">
        <v>461</v>
      </c>
      <c r="B696" s="57" t="s">
        <v>66</v>
      </c>
      <c r="C696" s="57" t="s">
        <v>791</v>
      </c>
      <c r="D696" s="186" t="s">
        <v>933</v>
      </c>
      <c r="E696" s="187"/>
      <c r="F696" s="187"/>
      <c r="G696" s="57" t="s">
        <v>1001</v>
      </c>
      <c r="H696" s="65">
        <v>3</v>
      </c>
      <c r="I696" s="73">
        <v>401</v>
      </c>
      <c r="J696" s="65">
        <f>H696*AO696</f>
        <v>1203</v>
      </c>
      <c r="K696" s="65">
        <f>H696*AP696</f>
        <v>0</v>
      </c>
      <c r="L696" s="65">
        <f>H696*I696</f>
        <v>1203</v>
      </c>
      <c r="M696" s="81"/>
      <c r="N696" s="19"/>
      <c r="Z696" s="35">
        <f>IF(AQ696="5",BJ696,0)</f>
        <v>0</v>
      </c>
      <c r="AB696" s="35">
        <f>IF(AQ696="1",BH696,0)</f>
        <v>0</v>
      </c>
      <c r="AC696" s="35">
        <f>IF(AQ696="1",BI696,0)</f>
        <v>0</v>
      </c>
      <c r="AD696" s="35">
        <f>IF(AQ696="7",BH696,0)</f>
        <v>1203</v>
      </c>
      <c r="AE696" s="35">
        <f>IF(AQ696="7",BI696,0)</f>
        <v>0</v>
      </c>
      <c r="AF696" s="35">
        <f>IF(AQ696="2",BH696,0)</f>
        <v>0</v>
      </c>
      <c r="AG696" s="35">
        <f>IF(AQ696="2",BI696,0)</f>
        <v>0</v>
      </c>
      <c r="AH696" s="35">
        <f>IF(AQ696="0",BJ696,0)</f>
        <v>0</v>
      </c>
      <c r="AI696" s="83" t="s">
        <v>66</v>
      </c>
      <c r="AJ696" s="65">
        <f>IF(AN696=0,L696,0)</f>
        <v>0</v>
      </c>
      <c r="AK696" s="65">
        <f>IF(AN696=15,L696,0)</f>
        <v>0</v>
      </c>
      <c r="AL696" s="65">
        <f>IF(AN696=21,L696,0)</f>
        <v>1203</v>
      </c>
      <c r="AN696" s="35">
        <v>21</v>
      </c>
      <c r="AO696" s="35">
        <f>I696*1</f>
        <v>401</v>
      </c>
      <c r="AP696" s="35">
        <f>I696*(1-1)</f>
        <v>0</v>
      </c>
      <c r="AQ696" s="85" t="s">
        <v>144</v>
      </c>
      <c r="AV696" s="35">
        <f>AW696+AX696</f>
        <v>1203</v>
      </c>
      <c r="AW696" s="35">
        <f>H696*AO696</f>
        <v>1203</v>
      </c>
      <c r="AX696" s="35">
        <f>H696*AP696</f>
        <v>0</v>
      </c>
      <c r="AY696" s="86" t="s">
        <v>1046</v>
      </c>
      <c r="AZ696" s="86" t="s">
        <v>1073</v>
      </c>
      <c r="BA696" s="83" t="s">
        <v>1080</v>
      </c>
      <c r="BC696" s="35">
        <f>AW696+AX696</f>
        <v>1203</v>
      </c>
      <c r="BD696" s="35">
        <f>I696/(100-BE696)*100</f>
        <v>401</v>
      </c>
      <c r="BE696" s="35">
        <v>0</v>
      </c>
      <c r="BF696" s="35">
        <f>696</f>
        <v>696</v>
      </c>
      <c r="BH696" s="65">
        <f>H696*AO696</f>
        <v>1203</v>
      </c>
      <c r="BI696" s="65">
        <f>H696*AP696</f>
        <v>0</v>
      </c>
      <c r="BJ696" s="65">
        <f>H696*I696</f>
        <v>1203</v>
      </c>
      <c r="BK696" s="65" t="s">
        <v>1001</v>
      </c>
      <c r="BL696" s="35">
        <v>751</v>
      </c>
    </row>
    <row r="697" spans="1:64" x14ac:dyDescent="0.2">
      <c r="A697" s="19"/>
      <c r="C697" s="59" t="s">
        <v>521</v>
      </c>
      <c r="D697" s="180" t="s">
        <v>933</v>
      </c>
      <c r="E697" s="181"/>
      <c r="F697" s="181"/>
      <c r="G697" s="181"/>
      <c r="H697" s="181"/>
      <c r="I697" s="182"/>
      <c r="J697" s="181"/>
      <c r="K697" s="181"/>
      <c r="L697" s="181"/>
      <c r="M697" s="183"/>
      <c r="N697" s="19"/>
    </row>
    <row r="698" spans="1:64" x14ac:dyDescent="0.2">
      <c r="A698" s="49" t="s">
        <v>462</v>
      </c>
      <c r="B698" s="57" t="s">
        <v>66</v>
      </c>
      <c r="C698" s="57" t="s">
        <v>792</v>
      </c>
      <c r="D698" s="186" t="s">
        <v>934</v>
      </c>
      <c r="E698" s="187"/>
      <c r="F698" s="187"/>
      <c r="G698" s="57" t="s">
        <v>1001</v>
      </c>
      <c r="H698" s="65">
        <v>7</v>
      </c>
      <c r="I698" s="73">
        <v>349</v>
      </c>
      <c r="J698" s="65">
        <f>H698*AO698</f>
        <v>2443</v>
      </c>
      <c r="K698" s="65">
        <f>H698*AP698</f>
        <v>0</v>
      </c>
      <c r="L698" s="65">
        <f>H698*I698</f>
        <v>2443</v>
      </c>
      <c r="M698" s="81"/>
      <c r="N698" s="19"/>
      <c r="Z698" s="35">
        <f>IF(AQ698="5",BJ698,0)</f>
        <v>0</v>
      </c>
      <c r="AB698" s="35">
        <f>IF(AQ698="1",BH698,0)</f>
        <v>0</v>
      </c>
      <c r="AC698" s="35">
        <f>IF(AQ698="1",BI698,0)</f>
        <v>0</v>
      </c>
      <c r="AD698" s="35">
        <f>IF(AQ698="7",BH698,0)</f>
        <v>2443</v>
      </c>
      <c r="AE698" s="35">
        <f>IF(AQ698="7",BI698,0)</f>
        <v>0</v>
      </c>
      <c r="AF698" s="35">
        <f>IF(AQ698="2",BH698,0)</f>
        <v>0</v>
      </c>
      <c r="AG698" s="35">
        <f>IF(AQ698="2",BI698,0)</f>
        <v>0</v>
      </c>
      <c r="AH698" s="35">
        <f>IF(AQ698="0",BJ698,0)</f>
        <v>0</v>
      </c>
      <c r="AI698" s="83" t="s">
        <v>66</v>
      </c>
      <c r="AJ698" s="65">
        <f>IF(AN698=0,L698,0)</f>
        <v>0</v>
      </c>
      <c r="AK698" s="65">
        <f>IF(AN698=15,L698,0)</f>
        <v>0</v>
      </c>
      <c r="AL698" s="65">
        <f>IF(AN698=21,L698,0)</f>
        <v>2443</v>
      </c>
      <c r="AN698" s="35">
        <v>21</v>
      </c>
      <c r="AO698" s="35">
        <f>I698*1</f>
        <v>349</v>
      </c>
      <c r="AP698" s="35">
        <f>I698*(1-1)</f>
        <v>0</v>
      </c>
      <c r="AQ698" s="85" t="s">
        <v>144</v>
      </c>
      <c r="AV698" s="35">
        <f>AW698+AX698</f>
        <v>2443</v>
      </c>
      <c r="AW698" s="35">
        <f>H698*AO698</f>
        <v>2443</v>
      </c>
      <c r="AX698" s="35">
        <f>H698*AP698</f>
        <v>0</v>
      </c>
      <c r="AY698" s="86" t="s">
        <v>1046</v>
      </c>
      <c r="AZ698" s="86" t="s">
        <v>1073</v>
      </c>
      <c r="BA698" s="83" t="s">
        <v>1080</v>
      </c>
      <c r="BC698" s="35">
        <f>AW698+AX698</f>
        <v>2443</v>
      </c>
      <c r="BD698" s="35">
        <f>I698/(100-BE698)*100</f>
        <v>349</v>
      </c>
      <c r="BE698" s="35">
        <v>0</v>
      </c>
      <c r="BF698" s="35">
        <f>698</f>
        <v>698</v>
      </c>
      <c r="BH698" s="65">
        <f>H698*AO698</f>
        <v>2443</v>
      </c>
      <c r="BI698" s="65">
        <f>H698*AP698</f>
        <v>0</v>
      </c>
      <c r="BJ698" s="65">
        <f>H698*I698</f>
        <v>2443</v>
      </c>
      <c r="BK698" s="65" t="s">
        <v>1001</v>
      </c>
      <c r="BL698" s="35">
        <v>751</v>
      </c>
    </row>
    <row r="699" spans="1:64" x14ac:dyDescent="0.2">
      <c r="A699" s="19"/>
      <c r="C699" s="59" t="s">
        <v>521</v>
      </c>
      <c r="D699" s="180" t="s">
        <v>934</v>
      </c>
      <c r="E699" s="181"/>
      <c r="F699" s="181"/>
      <c r="G699" s="181"/>
      <c r="H699" s="181"/>
      <c r="I699" s="182"/>
      <c r="J699" s="181"/>
      <c r="K699" s="181"/>
      <c r="L699" s="181"/>
      <c r="M699" s="183"/>
      <c r="N699" s="19"/>
    </row>
    <row r="700" spans="1:64" x14ac:dyDescent="0.2">
      <c r="A700" s="49" t="s">
        <v>463</v>
      </c>
      <c r="B700" s="57" t="s">
        <v>66</v>
      </c>
      <c r="C700" s="57" t="s">
        <v>793</v>
      </c>
      <c r="D700" s="186" t="s">
        <v>935</v>
      </c>
      <c r="E700" s="187"/>
      <c r="F700" s="187"/>
      <c r="G700" s="57" t="s">
        <v>1001</v>
      </c>
      <c r="H700" s="65">
        <v>3</v>
      </c>
      <c r="I700" s="73">
        <v>349</v>
      </c>
      <c r="J700" s="65">
        <f>H700*AO700</f>
        <v>1047</v>
      </c>
      <c r="K700" s="65">
        <f>H700*AP700</f>
        <v>0</v>
      </c>
      <c r="L700" s="65">
        <f>H700*I700</f>
        <v>1047</v>
      </c>
      <c r="M700" s="81"/>
      <c r="N700" s="19"/>
      <c r="Z700" s="35">
        <f>IF(AQ700="5",BJ700,0)</f>
        <v>0</v>
      </c>
      <c r="AB700" s="35">
        <f>IF(AQ700="1",BH700,0)</f>
        <v>0</v>
      </c>
      <c r="AC700" s="35">
        <f>IF(AQ700="1",BI700,0)</f>
        <v>0</v>
      </c>
      <c r="AD700" s="35">
        <f>IF(AQ700="7",BH700,0)</f>
        <v>1047</v>
      </c>
      <c r="AE700" s="35">
        <f>IF(AQ700="7",BI700,0)</f>
        <v>0</v>
      </c>
      <c r="AF700" s="35">
        <f>IF(AQ700="2",BH700,0)</f>
        <v>0</v>
      </c>
      <c r="AG700" s="35">
        <f>IF(AQ700="2",BI700,0)</f>
        <v>0</v>
      </c>
      <c r="AH700" s="35">
        <f>IF(AQ700="0",BJ700,0)</f>
        <v>0</v>
      </c>
      <c r="AI700" s="83" t="s">
        <v>66</v>
      </c>
      <c r="AJ700" s="65">
        <f>IF(AN700=0,L700,0)</f>
        <v>0</v>
      </c>
      <c r="AK700" s="65">
        <f>IF(AN700=15,L700,0)</f>
        <v>0</v>
      </c>
      <c r="AL700" s="65">
        <f>IF(AN700=21,L700,0)</f>
        <v>1047</v>
      </c>
      <c r="AN700" s="35">
        <v>21</v>
      </c>
      <c r="AO700" s="35">
        <f>I700*1</f>
        <v>349</v>
      </c>
      <c r="AP700" s="35">
        <f>I700*(1-1)</f>
        <v>0</v>
      </c>
      <c r="AQ700" s="85" t="s">
        <v>144</v>
      </c>
      <c r="AV700" s="35">
        <f>AW700+AX700</f>
        <v>1047</v>
      </c>
      <c r="AW700" s="35">
        <f>H700*AO700</f>
        <v>1047</v>
      </c>
      <c r="AX700" s="35">
        <f>H700*AP700</f>
        <v>0</v>
      </c>
      <c r="AY700" s="86" t="s">
        <v>1046</v>
      </c>
      <c r="AZ700" s="86" t="s">
        <v>1073</v>
      </c>
      <c r="BA700" s="83" t="s">
        <v>1080</v>
      </c>
      <c r="BC700" s="35">
        <f>AW700+AX700</f>
        <v>1047</v>
      </c>
      <c r="BD700" s="35">
        <f>I700/(100-BE700)*100</f>
        <v>349</v>
      </c>
      <c r="BE700" s="35">
        <v>0</v>
      </c>
      <c r="BF700" s="35">
        <f>700</f>
        <v>700</v>
      </c>
      <c r="BH700" s="65">
        <f>H700*AO700</f>
        <v>1047</v>
      </c>
      <c r="BI700" s="65">
        <f>H700*AP700</f>
        <v>0</v>
      </c>
      <c r="BJ700" s="65">
        <f>H700*I700</f>
        <v>1047</v>
      </c>
      <c r="BK700" s="65" t="s">
        <v>1001</v>
      </c>
      <c r="BL700" s="35">
        <v>751</v>
      </c>
    </row>
    <row r="701" spans="1:64" x14ac:dyDescent="0.2">
      <c r="A701" s="19"/>
      <c r="C701" s="59" t="s">
        <v>521</v>
      </c>
      <c r="D701" s="180" t="s">
        <v>935</v>
      </c>
      <c r="E701" s="181"/>
      <c r="F701" s="181"/>
      <c r="G701" s="181"/>
      <c r="H701" s="181"/>
      <c r="I701" s="182"/>
      <c r="J701" s="181"/>
      <c r="K701" s="181"/>
      <c r="L701" s="181"/>
      <c r="M701" s="183"/>
      <c r="N701" s="19"/>
    </row>
    <row r="702" spans="1:64" x14ac:dyDescent="0.2">
      <c r="A702" s="49" t="s">
        <v>464</v>
      </c>
      <c r="B702" s="57" t="s">
        <v>66</v>
      </c>
      <c r="C702" s="57" t="s">
        <v>794</v>
      </c>
      <c r="D702" s="186" t="s">
        <v>936</v>
      </c>
      <c r="E702" s="187"/>
      <c r="F702" s="187"/>
      <c r="G702" s="57" t="s">
        <v>1001</v>
      </c>
      <c r="H702" s="65">
        <v>2</v>
      </c>
      <c r="I702" s="73">
        <v>349</v>
      </c>
      <c r="J702" s="65">
        <f>H702*AO702</f>
        <v>698</v>
      </c>
      <c r="K702" s="65">
        <f>H702*AP702</f>
        <v>0</v>
      </c>
      <c r="L702" s="65">
        <f>H702*I702</f>
        <v>698</v>
      </c>
      <c r="M702" s="81"/>
      <c r="N702" s="19"/>
      <c r="Z702" s="35">
        <f>IF(AQ702="5",BJ702,0)</f>
        <v>0</v>
      </c>
      <c r="AB702" s="35">
        <f>IF(AQ702="1",BH702,0)</f>
        <v>0</v>
      </c>
      <c r="AC702" s="35">
        <f>IF(AQ702="1",BI702,0)</f>
        <v>0</v>
      </c>
      <c r="AD702" s="35">
        <f>IF(AQ702="7",BH702,0)</f>
        <v>698</v>
      </c>
      <c r="AE702" s="35">
        <f>IF(AQ702="7",BI702,0)</f>
        <v>0</v>
      </c>
      <c r="AF702" s="35">
        <f>IF(AQ702="2",BH702,0)</f>
        <v>0</v>
      </c>
      <c r="AG702" s="35">
        <f>IF(AQ702="2",BI702,0)</f>
        <v>0</v>
      </c>
      <c r="AH702" s="35">
        <f>IF(AQ702="0",BJ702,0)</f>
        <v>0</v>
      </c>
      <c r="AI702" s="83" t="s">
        <v>66</v>
      </c>
      <c r="AJ702" s="65">
        <f>IF(AN702=0,L702,0)</f>
        <v>0</v>
      </c>
      <c r="AK702" s="65">
        <f>IF(AN702=15,L702,0)</f>
        <v>0</v>
      </c>
      <c r="AL702" s="65">
        <f>IF(AN702=21,L702,0)</f>
        <v>698</v>
      </c>
      <c r="AN702" s="35">
        <v>21</v>
      </c>
      <c r="AO702" s="35">
        <f>I702*1</f>
        <v>349</v>
      </c>
      <c r="AP702" s="35">
        <f>I702*(1-1)</f>
        <v>0</v>
      </c>
      <c r="AQ702" s="85" t="s">
        <v>144</v>
      </c>
      <c r="AV702" s="35">
        <f>AW702+AX702</f>
        <v>698</v>
      </c>
      <c r="AW702" s="35">
        <f>H702*AO702</f>
        <v>698</v>
      </c>
      <c r="AX702" s="35">
        <f>H702*AP702</f>
        <v>0</v>
      </c>
      <c r="AY702" s="86" t="s">
        <v>1046</v>
      </c>
      <c r="AZ702" s="86" t="s">
        <v>1073</v>
      </c>
      <c r="BA702" s="83" t="s">
        <v>1080</v>
      </c>
      <c r="BC702" s="35">
        <f>AW702+AX702</f>
        <v>698</v>
      </c>
      <c r="BD702" s="35">
        <f>I702/(100-BE702)*100</f>
        <v>349</v>
      </c>
      <c r="BE702" s="35">
        <v>0</v>
      </c>
      <c r="BF702" s="35">
        <f>702</f>
        <v>702</v>
      </c>
      <c r="BH702" s="65">
        <f>H702*AO702</f>
        <v>698</v>
      </c>
      <c r="BI702" s="65">
        <f>H702*AP702</f>
        <v>0</v>
      </c>
      <c r="BJ702" s="65">
        <f>H702*I702</f>
        <v>698</v>
      </c>
      <c r="BK702" s="65" t="s">
        <v>1001</v>
      </c>
      <c r="BL702" s="35">
        <v>751</v>
      </c>
    </row>
    <row r="703" spans="1:64" x14ac:dyDescent="0.2">
      <c r="A703" s="19"/>
      <c r="C703" s="59" t="s">
        <v>521</v>
      </c>
      <c r="D703" s="180" t="s">
        <v>936</v>
      </c>
      <c r="E703" s="181"/>
      <c r="F703" s="181"/>
      <c r="G703" s="181"/>
      <c r="H703" s="181"/>
      <c r="I703" s="182"/>
      <c r="J703" s="181"/>
      <c r="K703" s="181"/>
      <c r="L703" s="181"/>
      <c r="M703" s="183"/>
      <c r="N703" s="19"/>
    </row>
    <row r="704" spans="1:64" x14ac:dyDescent="0.2">
      <c r="A704" s="49" t="s">
        <v>465</v>
      </c>
      <c r="B704" s="57" t="s">
        <v>66</v>
      </c>
      <c r="C704" s="57" t="s">
        <v>795</v>
      </c>
      <c r="D704" s="186" t="s">
        <v>937</v>
      </c>
      <c r="E704" s="187"/>
      <c r="F704" s="187"/>
      <c r="G704" s="57" t="s">
        <v>1001</v>
      </c>
      <c r="H704" s="65">
        <v>3</v>
      </c>
      <c r="I704" s="73">
        <v>349</v>
      </c>
      <c r="J704" s="65">
        <f>H704*AO704</f>
        <v>1047</v>
      </c>
      <c r="K704" s="65">
        <f>H704*AP704</f>
        <v>0</v>
      </c>
      <c r="L704" s="65">
        <f>H704*I704</f>
        <v>1047</v>
      </c>
      <c r="M704" s="81"/>
      <c r="N704" s="19"/>
      <c r="Z704" s="35">
        <f>IF(AQ704="5",BJ704,0)</f>
        <v>0</v>
      </c>
      <c r="AB704" s="35">
        <f>IF(AQ704="1",BH704,0)</f>
        <v>0</v>
      </c>
      <c r="AC704" s="35">
        <f>IF(AQ704="1",BI704,0)</f>
        <v>0</v>
      </c>
      <c r="AD704" s="35">
        <f>IF(AQ704="7",BH704,0)</f>
        <v>1047</v>
      </c>
      <c r="AE704" s="35">
        <f>IF(AQ704="7",BI704,0)</f>
        <v>0</v>
      </c>
      <c r="AF704" s="35">
        <f>IF(AQ704="2",BH704,0)</f>
        <v>0</v>
      </c>
      <c r="AG704" s="35">
        <f>IF(AQ704="2",BI704,0)</f>
        <v>0</v>
      </c>
      <c r="AH704" s="35">
        <f>IF(AQ704="0",BJ704,0)</f>
        <v>0</v>
      </c>
      <c r="AI704" s="83" t="s">
        <v>66</v>
      </c>
      <c r="AJ704" s="65">
        <f>IF(AN704=0,L704,0)</f>
        <v>0</v>
      </c>
      <c r="AK704" s="65">
        <f>IF(AN704=15,L704,0)</f>
        <v>0</v>
      </c>
      <c r="AL704" s="65">
        <f>IF(AN704=21,L704,0)</f>
        <v>1047</v>
      </c>
      <c r="AN704" s="35">
        <v>21</v>
      </c>
      <c r="AO704" s="35">
        <f>I704*1</f>
        <v>349</v>
      </c>
      <c r="AP704" s="35">
        <f>I704*(1-1)</f>
        <v>0</v>
      </c>
      <c r="AQ704" s="85" t="s">
        <v>144</v>
      </c>
      <c r="AV704" s="35">
        <f>AW704+AX704</f>
        <v>1047</v>
      </c>
      <c r="AW704" s="35">
        <f>H704*AO704</f>
        <v>1047</v>
      </c>
      <c r="AX704" s="35">
        <f>H704*AP704</f>
        <v>0</v>
      </c>
      <c r="AY704" s="86" t="s">
        <v>1046</v>
      </c>
      <c r="AZ704" s="86" t="s">
        <v>1073</v>
      </c>
      <c r="BA704" s="83" t="s">
        <v>1080</v>
      </c>
      <c r="BC704" s="35">
        <f>AW704+AX704</f>
        <v>1047</v>
      </c>
      <c r="BD704" s="35">
        <f>I704/(100-BE704)*100</f>
        <v>349</v>
      </c>
      <c r="BE704" s="35">
        <v>0</v>
      </c>
      <c r="BF704" s="35">
        <f>704</f>
        <v>704</v>
      </c>
      <c r="BH704" s="65">
        <f>H704*AO704</f>
        <v>1047</v>
      </c>
      <c r="BI704" s="65">
        <f>H704*AP704</f>
        <v>0</v>
      </c>
      <c r="BJ704" s="65">
        <f>H704*I704</f>
        <v>1047</v>
      </c>
      <c r="BK704" s="65" t="s">
        <v>1001</v>
      </c>
      <c r="BL704" s="35">
        <v>751</v>
      </c>
    </row>
    <row r="705" spans="1:64" x14ac:dyDescent="0.2">
      <c r="A705" s="19"/>
      <c r="C705" s="59" t="s">
        <v>521</v>
      </c>
      <c r="D705" s="180" t="s">
        <v>937</v>
      </c>
      <c r="E705" s="181"/>
      <c r="F705" s="181"/>
      <c r="G705" s="181"/>
      <c r="H705" s="181"/>
      <c r="I705" s="182"/>
      <c r="J705" s="181"/>
      <c r="K705" s="181"/>
      <c r="L705" s="181"/>
      <c r="M705" s="183"/>
      <c r="N705" s="19"/>
    </row>
    <row r="706" spans="1:64" x14ac:dyDescent="0.2">
      <c r="A706" s="47" t="s">
        <v>466</v>
      </c>
      <c r="B706" s="55" t="s">
        <v>66</v>
      </c>
      <c r="C706" s="55" t="s">
        <v>604</v>
      </c>
      <c r="D706" s="178" t="s">
        <v>938</v>
      </c>
      <c r="E706" s="179"/>
      <c r="F706" s="179"/>
      <c r="G706" s="55" t="s">
        <v>1003</v>
      </c>
      <c r="H706" s="64">
        <v>4</v>
      </c>
      <c r="I706" s="71">
        <v>178</v>
      </c>
      <c r="J706" s="64">
        <f>H706*AO706</f>
        <v>0</v>
      </c>
      <c r="K706" s="64">
        <f>H706*AP706</f>
        <v>712</v>
      </c>
      <c r="L706" s="64">
        <f>H706*I706</f>
        <v>712</v>
      </c>
      <c r="M706" s="79"/>
      <c r="N706" s="19"/>
      <c r="Z706" s="35">
        <f>IF(AQ706="5",BJ706,0)</f>
        <v>0</v>
      </c>
      <c r="AB706" s="35">
        <f>IF(AQ706="1",BH706,0)</f>
        <v>0</v>
      </c>
      <c r="AC706" s="35">
        <f>IF(AQ706="1",BI706,0)</f>
        <v>0</v>
      </c>
      <c r="AD706" s="35">
        <f>IF(AQ706="7",BH706,0)</f>
        <v>0</v>
      </c>
      <c r="AE706" s="35">
        <f>IF(AQ706="7",BI706,0)</f>
        <v>712</v>
      </c>
      <c r="AF706" s="35">
        <f>IF(AQ706="2",BH706,0)</f>
        <v>0</v>
      </c>
      <c r="AG706" s="35">
        <f>IF(AQ706="2",BI706,0)</f>
        <v>0</v>
      </c>
      <c r="AH706" s="35">
        <f>IF(AQ706="0",BJ706,0)</f>
        <v>0</v>
      </c>
      <c r="AI706" s="83" t="s">
        <v>66</v>
      </c>
      <c r="AJ706" s="64">
        <f>IF(AN706=0,L706,0)</f>
        <v>0</v>
      </c>
      <c r="AK706" s="64">
        <f>IF(AN706=15,L706,0)</f>
        <v>0</v>
      </c>
      <c r="AL706" s="64">
        <f>IF(AN706=21,L706,0)</f>
        <v>712</v>
      </c>
      <c r="AN706" s="35">
        <v>21</v>
      </c>
      <c r="AO706" s="35">
        <f>I706*0</f>
        <v>0</v>
      </c>
      <c r="AP706" s="35">
        <f>I706*(1-0)</f>
        <v>178</v>
      </c>
      <c r="AQ706" s="84" t="s">
        <v>144</v>
      </c>
      <c r="AV706" s="35">
        <f>AW706+AX706</f>
        <v>712</v>
      </c>
      <c r="AW706" s="35">
        <f>H706*AO706</f>
        <v>0</v>
      </c>
      <c r="AX706" s="35">
        <f>H706*AP706</f>
        <v>712</v>
      </c>
      <c r="AY706" s="86" t="s">
        <v>1046</v>
      </c>
      <c r="AZ706" s="86" t="s">
        <v>1073</v>
      </c>
      <c r="BA706" s="83" t="s">
        <v>1080</v>
      </c>
      <c r="BC706" s="35">
        <f>AW706+AX706</f>
        <v>712</v>
      </c>
      <c r="BD706" s="35">
        <f>I706/(100-BE706)*100</f>
        <v>178</v>
      </c>
      <c r="BE706" s="35">
        <v>0</v>
      </c>
      <c r="BF706" s="35">
        <f>706</f>
        <v>706</v>
      </c>
      <c r="BH706" s="64">
        <f>H706*AO706</f>
        <v>0</v>
      </c>
      <c r="BI706" s="64">
        <f>H706*AP706</f>
        <v>712</v>
      </c>
      <c r="BJ706" s="64">
        <f>H706*I706</f>
        <v>712</v>
      </c>
      <c r="BK706" s="64" t="s">
        <v>1086</v>
      </c>
      <c r="BL706" s="35">
        <v>751</v>
      </c>
    </row>
    <row r="707" spans="1:64" x14ac:dyDescent="0.2">
      <c r="A707" s="19"/>
      <c r="C707" s="59" t="s">
        <v>521</v>
      </c>
      <c r="D707" s="180" t="s">
        <v>938</v>
      </c>
      <c r="E707" s="181"/>
      <c r="F707" s="181"/>
      <c r="G707" s="181"/>
      <c r="H707" s="181"/>
      <c r="I707" s="182"/>
      <c r="J707" s="181"/>
      <c r="K707" s="181"/>
      <c r="L707" s="181"/>
      <c r="M707" s="183"/>
      <c r="N707" s="19"/>
    </row>
    <row r="708" spans="1:64" x14ac:dyDescent="0.2">
      <c r="A708" s="49" t="s">
        <v>467</v>
      </c>
      <c r="B708" s="57" t="s">
        <v>66</v>
      </c>
      <c r="C708" s="57" t="s">
        <v>796</v>
      </c>
      <c r="D708" s="186" t="s">
        <v>939</v>
      </c>
      <c r="E708" s="187"/>
      <c r="F708" s="187"/>
      <c r="G708" s="57" t="s">
        <v>1004</v>
      </c>
      <c r="H708" s="65">
        <v>4</v>
      </c>
      <c r="I708" s="73">
        <v>735</v>
      </c>
      <c r="J708" s="65">
        <f>H708*AO708</f>
        <v>2940</v>
      </c>
      <c r="K708" s="65">
        <f>H708*AP708</f>
        <v>0</v>
      </c>
      <c r="L708" s="65">
        <f>H708*I708</f>
        <v>2940</v>
      </c>
      <c r="M708" s="81"/>
      <c r="N708" s="19"/>
      <c r="Z708" s="35">
        <f>IF(AQ708="5",BJ708,0)</f>
        <v>0</v>
      </c>
      <c r="AB708" s="35">
        <f>IF(AQ708="1",BH708,0)</f>
        <v>0</v>
      </c>
      <c r="AC708" s="35">
        <f>IF(AQ708="1",BI708,0)</f>
        <v>0</v>
      </c>
      <c r="AD708" s="35">
        <f>IF(AQ708="7",BH708,0)</f>
        <v>2940</v>
      </c>
      <c r="AE708" s="35">
        <f>IF(AQ708="7",BI708,0)</f>
        <v>0</v>
      </c>
      <c r="AF708" s="35">
        <f>IF(AQ708="2",BH708,0)</f>
        <v>0</v>
      </c>
      <c r="AG708" s="35">
        <f>IF(AQ708="2",BI708,0)</f>
        <v>0</v>
      </c>
      <c r="AH708" s="35">
        <f>IF(AQ708="0",BJ708,0)</f>
        <v>0</v>
      </c>
      <c r="AI708" s="83" t="s">
        <v>66</v>
      </c>
      <c r="AJ708" s="65">
        <f>IF(AN708=0,L708,0)</f>
        <v>0</v>
      </c>
      <c r="AK708" s="65">
        <f>IF(AN708=15,L708,0)</f>
        <v>0</v>
      </c>
      <c r="AL708" s="65">
        <f>IF(AN708=21,L708,0)</f>
        <v>2940</v>
      </c>
      <c r="AN708" s="35">
        <v>21</v>
      </c>
      <c r="AO708" s="35">
        <f>I708*1</f>
        <v>735</v>
      </c>
      <c r="AP708" s="35">
        <f>I708*(1-1)</f>
        <v>0</v>
      </c>
      <c r="AQ708" s="85" t="s">
        <v>144</v>
      </c>
      <c r="AV708" s="35">
        <f>AW708+AX708</f>
        <v>2940</v>
      </c>
      <c r="AW708" s="35">
        <f>H708*AO708</f>
        <v>2940</v>
      </c>
      <c r="AX708" s="35">
        <f>H708*AP708</f>
        <v>0</v>
      </c>
      <c r="AY708" s="86" t="s">
        <v>1046</v>
      </c>
      <c r="AZ708" s="86" t="s">
        <v>1073</v>
      </c>
      <c r="BA708" s="83" t="s">
        <v>1080</v>
      </c>
      <c r="BC708" s="35">
        <f>AW708+AX708</f>
        <v>2940</v>
      </c>
      <c r="BD708" s="35">
        <f>I708/(100-BE708)*100</f>
        <v>735</v>
      </c>
      <c r="BE708" s="35">
        <v>0</v>
      </c>
      <c r="BF708" s="35">
        <f>708</f>
        <v>708</v>
      </c>
      <c r="BH708" s="65">
        <f>H708*AO708</f>
        <v>2940</v>
      </c>
      <c r="BI708" s="65">
        <f>H708*AP708</f>
        <v>0</v>
      </c>
      <c r="BJ708" s="65">
        <f>H708*I708</f>
        <v>2940</v>
      </c>
      <c r="BK708" s="65" t="s">
        <v>1001</v>
      </c>
      <c r="BL708" s="35">
        <v>751</v>
      </c>
    </row>
    <row r="709" spans="1:64" x14ac:dyDescent="0.2">
      <c r="A709" s="19"/>
      <c r="C709" s="59" t="s">
        <v>521</v>
      </c>
      <c r="D709" s="180" t="s">
        <v>939</v>
      </c>
      <c r="E709" s="181"/>
      <c r="F709" s="181"/>
      <c r="G709" s="181"/>
      <c r="H709" s="181"/>
      <c r="I709" s="182"/>
      <c r="J709" s="181"/>
      <c r="K709" s="181"/>
      <c r="L709" s="181"/>
      <c r="M709" s="183"/>
      <c r="N709" s="19"/>
    </row>
    <row r="710" spans="1:64" x14ac:dyDescent="0.2">
      <c r="A710" s="47" t="s">
        <v>468</v>
      </c>
      <c r="B710" s="55" t="s">
        <v>66</v>
      </c>
      <c r="C710" s="55" t="s">
        <v>606</v>
      </c>
      <c r="D710" s="178" t="s">
        <v>940</v>
      </c>
      <c r="E710" s="179"/>
      <c r="F710" s="179"/>
      <c r="G710" s="55" t="s">
        <v>1003</v>
      </c>
      <c r="H710" s="64">
        <v>12</v>
      </c>
      <c r="I710" s="71">
        <v>178</v>
      </c>
      <c r="J710" s="64">
        <f>H710*AO710</f>
        <v>0</v>
      </c>
      <c r="K710" s="64">
        <f>H710*AP710</f>
        <v>2136</v>
      </c>
      <c r="L710" s="64">
        <f>H710*I710</f>
        <v>2136</v>
      </c>
      <c r="M710" s="79"/>
      <c r="N710" s="19"/>
      <c r="Z710" s="35">
        <f>IF(AQ710="5",BJ710,0)</f>
        <v>0</v>
      </c>
      <c r="AB710" s="35">
        <f>IF(AQ710="1",BH710,0)</f>
        <v>0</v>
      </c>
      <c r="AC710" s="35">
        <f>IF(AQ710="1",BI710,0)</f>
        <v>0</v>
      </c>
      <c r="AD710" s="35">
        <f>IF(AQ710="7",BH710,0)</f>
        <v>0</v>
      </c>
      <c r="AE710" s="35">
        <f>IF(AQ710="7",BI710,0)</f>
        <v>2136</v>
      </c>
      <c r="AF710" s="35">
        <f>IF(AQ710="2",BH710,0)</f>
        <v>0</v>
      </c>
      <c r="AG710" s="35">
        <f>IF(AQ710="2",BI710,0)</f>
        <v>0</v>
      </c>
      <c r="AH710" s="35">
        <f>IF(AQ710="0",BJ710,0)</f>
        <v>0</v>
      </c>
      <c r="AI710" s="83" t="s">
        <v>66</v>
      </c>
      <c r="AJ710" s="64">
        <f>IF(AN710=0,L710,0)</f>
        <v>0</v>
      </c>
      <c r="AK710" s="64">
        <f>IF(AN710=15,L710,0)</f>
        <v>0</v>
      </c>
      <c r="AL710" s="64">
        <f>IF(AN710=21,L710,0)</f>
        <v>2136</v>
      </c>
      <c r="AN710" s="35">
        <v>21</v>
      </c>
      <c r="AO710" s="35">
        <f>I710*0</f>
        <v>0</v>
      </c>
      <c r="AP710" s="35">
        <f>I710*(1-0)</f>
        <v>178</v>
      </c>
      <c r="AQ710" s="84" t="s">
        <v>144</v>
      </c>
      <c r="AV710" s="35">
        <f>AW710+AX710</f>
        <v>2136</v>
      </c>
      <c r="AW710" s="35">
        <f>H710*AO710</f>
        <v>0</v>
      </c>
      <c r="AX710" s="35">
        <f>H710*AP710</f>
        <v>2136</v>
      </c>
      <c r="AY710" s="86" t="s">
        <v>1046</v>
      </c>
      <c r="AZ710" s="86" t="s">
        <v>1073</v>
      </c>
      <c r="BA710" s="83" t="s">
        <v>1080</v>
      </c>
      <c r="BC710" s="35">
        <f>AW710+AX710</f>
        <v>2136</v>
      </c>
      <c r="BD710" s="35">
        <f>I710/(100-BE710)*100</f>
        <v>178</v>
      </c>
      <c r="BE710" s="35">
        <v>0</v>
      </c>
      <c r="BF710" s="35">
        <f>710</f>
        <v>710</v>
      </c>
      <c r="BH710" s="64">
        <f>H710*AO710</f>
        <v>0</v>
      </c>
      <c r="BI710" s="64">
        <f>H710*AP710</f>
        <v>2136</v>
      </c>
      <c r="BJ710" s="64">
        <f>H710*I710</f>
        <v>2136</v>
      </c>
      <c r="BK710" s="64" t="s">
        <v>1086</v>
      </c>
      <c r="BL710" s="35">
        <v>751</v>
      </c>
    </row>
    <row r="711" spans="1:64" x14ac:dyDescent="0.2">
      <c r="A711" s="19"/>
      <c r="C711" s="59" t="s">
        <v>521</v>
      </c>
      <c r="D711" s="180" t="s">
        <v>940</v>
      </c>
      <c r="E711" s="181"/>
      <c r="F711" s="181"/>
      <c r="G711" s="181"/>
      <c r="H711" s="181"/>
      <c r="I711" s="182"/>
      <c r="J711" s="181"/>
      <c r="K711" s="181"/>
      <c r="L711" s="181"/>
      <c r="M711" s="183"/>
      <c r="N711" s="19"/>
    </row>
    <row r="712" spans="1:64" x14ac:dyDescent="0.2">
      <c r="A712" s="49" t="s">
        <v>469</v>
      </c>
      <c r="B712" s="57" t="s">
        <v>66</v>
      </c>
      <c r="C712" s="57" t="s">
        <v>797</v>
      </c>
      <c r="D712" s="186" t="s">
        <v>941</v>
      </c>
      <c r="E712" s="187"/>
      <c r="F712" s="187"/>
      <c r="G712" s="57" t="s">
        <v>1004</v>
      </c>
      <c r="H712" s="65">
        <v>2</v>
      </c>
      <c r="I712" s="73">
        <v>751</v>
      </c>
      <c r="J712" s="65">
        <f>H712*AO712</f>
        <v>1502</v>
      </c>
      <c r="K712" s="65">
        <f>H712*AP712</f>
        <v>0</v>
      </c>
      <c r="L712" s="65">
        <f>H712*I712</f>
        <v>1502</v>
      </c>
      <c r="M712" s="81"/>
      <c r="N712" s="19"/>
      <c r="Z712" s="35">
        <f>IF(AQ712="5",BJ712,0)</f>
        <v>0</v>
      </c>
      <c r="AB712" s="35">
        <f>IF(AQ712="1",BH712,0)</f>
        <v>0</v>
      </c>
      <c r="AC712" s="35">
        <f>IF(AQ712="1",BI712,0)</f>
        <v>0</v>
      </c>
      <c r="AD712" s="35">
        <f>IF(AQ712="7",BH712,0)</f>
        <v>1502</v>
      </c>
      <c r="AE712" s="35">
        <f>IF(AQ712="7",BI712,0)</f>
        <v>0</v>
      </c>
      <c r="AF712" s="35">
        <f>IF(AQ712="2",BH712,0)</f>
        <v>0</v>
      </c>
      <c r="AG712" s="35">
        <f>IF(AQ712="2",BI712,0)</f>
        <v>0</v>
      </c>
      <c r="AH712" s="35">
        <f>IF(AQ712="0",BJ712,0)</f>
        <v>0</v>
      </c>
      <c r="AI712" s="83" t="s">
        <v>66</v>
      </c>
      <c r="AJ712" s="65">
        <f>IF(AN712=0,L712,0)</f>
        <v>0</v>
      </c>
      <c r="AK712" s="65">
        <f>IF(AN712=15,L712,0)</f>
        <v>0</v>
      </c>
      <c r="AL712" s="65">
        <f>IF(AN712=21,L712,0)</f>
        <v>1502</v>
      </c>
      <c r="AN712" s="35">
        <v>21</v>
      </c>
      <c r="AO712" s="35">
        <f>I712*1</f>
        <v>751</v>
      </c>
      <c r="AP712" s="35">
        <f>I712*(1-1)</f>
        <v>0</v>
      </c>
      <c r="AQ712" s="85" t="s">
        <v>144</v>
      </c>
      <c r="AV712" s="35">
        <f>AW712+AX712</f>
        <v>1502</v>
      </c>
      <c r="AW712" s="35">
        <f>H712*AO712</f>
        <v>1502</v>
      </c>
      <c r="AX712" s="35">
        <f>H712*AP712</f>
        <v>0</v>
      </c>
      <c r="AY712" s="86" t="s">
        <v>1046</v>
      </c>
      <c r="AZ712" s="86" t="s">
        <v>1073</v>
      </c>
      <c r="BA712" s="83" t="s">
        <v>1080</v>
      </c>
      <c r="BC712" s="35">
        <f>AW712+AX712</f>
        <v>1502</v>
      </c>
      <c r="BD712" s="35">
        <f>I712/(100-BE712)*100</f>
        <v>751</v>
      </c>
      <c r="BE712" s="35">
        <v>0</v>
      </c>
      <c r="BF712" s="35">
        <f>712</f>
        <v>712</v>
      </c>
      <c r="BH712" s="65">
        <f>H712*AO712</f>
        <v>1502</v>
      </c>
      <c r="BI712" s="65">
        <f>H712*AP712</f>
        <v>0</v>
      </c>
      <c r="BJ712" s="65">
        <f>H712*I712</f>
        <v>1502</v>
      </c>
      <c r="BK712" s="65" t="s">
        <v>1001</v>
      </c>
      <c r="BL712" s="35">
        <v>751</v>
      </c>
    </row>
    <row r="713" spans="1:64" x14ac:dyDescent="0.2">
      <c r="A713" s="19"/>
      <c r="C713" s="59" t="s">
        <v>521</v>
      </c>
      <c r="D713" s="180" t="s">
        <v>941</v>
      </c>
      <c r="E713" s="181"/>
      <c r="F713" s="181"/>
      <c r="G713" s="181"/>
      <c r="H713" s="181"/>
      <c r="I713" s="182"/>
      <c r="J713" s="181"/>
      <c r="K713" s="181"/>
      <c r="L713" s="181"/>
      <c r="M713" s="183"/>
      <c r="N713" s="19"/>
    </row>
    <row r="714" spans="1:64" x14ac:dyDescent="0.2">
      <c r="A714" s="49" t="s">
        <v>470</v>
      </c>
      <c r="B714" s="57" t="s">
        <v>66</v>
      </c>
      <c r="C714" s="57" t="s">
        <v>798</v>
      </c>
      <c r="D714" s="186" t="s">
        <v>943</v>
      </c>
      <c r="E714" s="187"/>
      <c r="F714" s="187"/>
      <c r="G714" s="57" t="s">
        <v>1004</v>
      </c>
      <c r="H714" s="65">
        <v>2</v>
      </c>
      <c r="I714" s="73">
        <v>751</v>
      </c>
      <c r="J714" s="65">
        <f>H714*AO714</f>
        <v>1502</v>
      </c>
      <c r="K714" s="65">
        <f>H714*AP714</f>
        <v>0</v>
      </c>
      <c r="L714" s="65">
        <f>H714*I714</f>
        <v>1502</v>
      </c>
      <c r="M714" s="81"/>
      <c r="N714" s="19"/>
      <c r="Z714" s="35">
        <f>IF(AQ714="5",BJ714,0)</f>
        <v>0</v>
      </c>
      <c r="AB714" s="35">
        <f>IF(AQ714="1",BH714,0)</f>
        <v>0</v>
      </c>
      <c r="AC714" s="35">
        <f>IF(AQ714="1",BI714,0)</f>
        <v>0</v>
      </c>
      <c r="AD714" s="35">
        <f>IF(AQ714="7",BH714,0)</f>
        <v>1502</v>
      </c>
      <c r="AE714" s="35">
        <f>IF(AQ714="7",BI714,0)</f>
        <v>0</v>
      </c>
      <c r="AF714" s="35">
        <f>IF(AQ714="2",BH714,0)</f>
        <v>0</v>
      </c>
      <c r="AG714" s="35">
        <f>IF(AQ714="2",BI714,0)</f>
        <v>0</v>
      </c>
      <c r="AH714" s="35">
        <f>IF(AQ714="0",BJ714,0)</f>
        <v>0</v>
      </c>
      <c r="AI714" s="83" t="s">
        <v>66</v>
      </c>
      <c r="AJ714" s="65">
        <f>IF(AN714=0,L714,0)</f>
        <v>0</v>
      </c>
      <c r="AK714" s="65">
        <f>IF(AN714=15,L714,0)</f>
        <v>0</v>
      </c>
      <c r="AL714" s="65">
        <f>IF(AN714=21,L714,0)</f>
        <v>1502</v>
      </c>
      <c r="AN714" s="35">
        <v>21</v>
      </c>
      <c r="AO714" s="35">
        <f>I714*1</f>
        <v>751</v>
      </c>
      <c r="AP714" s="35">
        <f>I714*(1-1)</f>
        <v>0</v>
      </c>
      <c r="AQ714" s="85" t="s">
        <v>144</v>
      </c>
      <c r="AV714" s="35">
        <f>AW714+AX714</f>
        <v>1502</v>
      </c>
      <c r="AW714" s="35">
        <f>H714*AO714</f>
        <v>1502</v>
      </c>
      <c r="AX714" s="35">
        <f>H714*AP714</f>
        <v>0</v>
      </c>
      <c r="AY714" s="86" t="s">
        <v>1046</v>
      </c>
      <c r="AZ714" s="86" t="s">
        <v>1073</v>
      </c>
      <c r="BA714" s="83" t="s">
        <v>1080</v>
      </c>
      <c r="BC714" s="35">
        <f>AW714+AX714</f>
        <v>1502</v>
      </c>
      <c r="BD714" s="35">
        <f>I714/(100-BE714)*100</f>
        <v>751</v>
      </c>
      <c r="BE714" s="35">
        <v>0</v>
      </c>
      <c r="BF714" s="35">
        <f>714</f>
        <v>714</v>
      </c>
      <c r="BH714" s="65">
        <f>H714*AO714</f>
        <v>1502</v>
      </c>
      <c r="BI714" s="65">
        <f>H714*AP714</f>
        <v>0</v>
      </c>
      <c r="BJ714" s="65">
        <f>H714*I714</f>
        <v>1502</v>
      </c>
      <c r="BK714" s="65" t="s">
        <v>1001</v>
      </c>
      <c r="BL714" s="35">
        <v>751</v>
      </c>
    </row>
    <row r="715" spans="1:64" x14ac:dyDescent="0.2">
      <c r="A715" s="19"/>
      <c r="C715" s="59" t="s">
        <v>521</v>
      </c>
      <c r="D715" s="180" t="s">
        <v>943</v>
      </c>
      <c r="E715" s="181"/>
      <c r="F715" s="181"/>
      <c r="G715" s="181"/>
      <c r="H715" s="181"/>
      <c r="I715" s="182"/>
      <c r="J715" s="181"/>
      <c r="K715" s="181"/>
      <c r="L715" s="181"/>
      <c r="M715" s="183"/>
      <c r="N715" s="19"/>
    </row>
    <row r="716" spans="1:64" x14ac:dyDescent="0.2">
      <c r="A716" s="49" t="s">
        <v>471</v>
      </c>
      <c r="B716" s="57" t="s">
        <v>66</v>
      </c>
      <c r="C716" s="57" t="s">
        <v>799</v>
      </c>
      <c r="D716" s="186" t="s">
        <v>944</v>
      </c>
      <c r="E716" s="187"/>
      <c r="F716" s="187"/>
      <c r="G716" s="57" t="s">
        <v>1004</v>
      </c>
      <c r="H716" s="65">
        <v>2</v>
      </c>
      <c r="I716" s="73">
        <v>642</v>
      </c>
      <c r="J716" s="65">
        <f>H716*AO716</f>
        <v>1284</v>
      </c>
      <c r="K716" s="65">
        <f>H716*AP716</f>
        <v>0</v>
      </c>
      <c r="L716" s="65">
        <f>H716*I716</f>
        <v>1284</v>
      </c>
      <c r="M716" s="81"/>
      <c r="N716" s="19"/>
      <c r="Z716" s="35">
        <f>IF(AQ716="5",BJ716,0)</f>
        <v>0</v>
      </c>
      <c r="AB716" s="35">
        <f>IF(AQ716="1",BH716,0)</f>
        <v>0</v>
      </c>
      <c r="AC716" s="35">
        <f>IF(AQ716="1",BI716,0)</f>
        <v>0</v>
      </c>
      <c r="AD716" s="35">
        <f>IF(AQ716="7",BH716,0)</f>
        <v>1284</v>
      </c>
      <c r="AE716" s="35">
        <f>IF(AQ716="7",BI716,0)</f>
        <v>0</v>
      </c>
      <c r="AF716" s="35">
        <f>IF(AQ716="2",BH716,0)</f>
        <v>0</v>
      </c>
      <c r="AG716" s="35">
        <f>IF(AQ716="2",BI716,0)</f>
        <v>0</v>
      </c>
      <c r="AH716" s="35">
        <f>IF(AQ716="0",BJ716,0)</f>
        <v>0</v>
      </c>
      <c r="AI716" s="83" t="s">
        <v>66</v>
      </c>
      <c r="AJ716" s="65">
        <f>IF(AN716=0,L716,0)</f>
        <v>0</v>
      </c>
      <c r="AK716" s="65">
        <f>IF(AN716=15,L716,0)</f>
        <v>0</v>
      </c>
      <c r="AL716" s="65">
        <f>IF(AN716=21,L716,0)</f>
        <v>1284</v>
      </c>
      <c r="AN716" s="35">
        <v>21</v>
      </c>
      <c r="AO716" s="35">
        <f>I716*1</f>
        <v>642</v>
      </c>
      <c r="AP716" s="35">
        <f>I716*(1-1)</f>
        <v>0</v>
      </c>
      <c r="AQ716" s="85" t="s">
        <v>144</v>
      </c>
      <c r="AV716" s="35">
        <f>AW716+AX716</f>
        <v>1284</v>
      </c>
      <c r="AW716" s="35">
        <f>H716*AO716</f>
        <v>1284</v>
      </c>
      <c r="AX716" s="35">
        <f>H716*AP716</f>
        <v>0</v>
      </c>
      <c r="AY716" s="86" t="s">
        <v>1046</v>
      </c>
      <c r="AZ716" s="86" t="s">
        <v>1073</v>
      </c>
      <c r="BA716" s="83" t="s">
        <v>1080</v>
      </c>
      <c r="BC716" s="35">
        <f>AW716+AX716</f>
        <v>1284</v>
      </c>
      <c r="BD716" s="35">
        <f>I716/(100-BE716)*100</f>
        <v>642</v>
      </c>
      <c r="BE716" s="35">
        <v>0</v>
      </c>
      <c r="BF716" s="35">
        <f>716</f>
        <v>716</v>
      </c>
      <c r="BH716" s="65">
        <f>H716*AO716</f>
        <v>1284</v>
      </c>
      <c r="BI716" s="65">
        <f>H716*AP716</f>
        <v>0</v>
      </c>
      <c r="BJ716" s="65">
        <f>H716*I716</f>
        <v>1284</v>
      </c>
      <c r="BK716" s="65" t="s">
        <v>1001</v>
      </c>
      <c r="BL716" s="35">
        <v>751</v>
      </c>
    </row>
    <row r="717" spans="1:64" x14ac:dyDescent="0.2">
      <c r="A717" s="19"/>
      <c r="C717" s="59" t="s">
        <v>521</v>
      </c>
      <c r="D717" s="180" t="s">
        <v>944</v>
      </c>
      <c r="E717" s="181"/>
      <c r="F717" s="181"/>
      <c r="G717" s="181"/>
      <c r="H717" s="181"/>
      <c r="I717" s="182"/>
      <c r="J717" s="181"/>
      <c r="K717" s="181"/>
      <c r="L717" s="181"/>
      <c r="M717" s="183"/>
      <c r="N717" s="19"/>
    </row>
    <row r="718" spans="1:64" x14ac:dyDescent="0.2">
      <c r="A718" s="49" t="s">
        <v>472</v>
      </c>
      <c r="B718" s="57" t="s">
        <v>66</v>
      </c>
      <c r="C718" s="57" t="s">
        <v>800</v>
      </c>
      <c r="D718" s="186" t="s">
        <v>945</v>
      </c>
      <c r="E718" s="187"/>
      <c r="F718" s="187"/>
      <c r="G718" s="57" t="s">
        <v>1004</v>
      </c>
      <c r="H718" s="65">
        <v>2</v>
      </c>
      <c r="I718" s="73">
        <v>408</v>
      </c>
      <c r="J718" s="65">
        <f>H718*AO718</f>
        <v>816</v>
      </c>
      <c r="K718" s="65">
        <f>H718*AP718</f>
        <v>0</v>
      </c>
      <c r="L718" s="65">
        <f>H718*I718</f>
        <v>816</v>
      </c>
      <c r="M718" s="81"/>
      <c r="N718" s="19"/>
      <c r="Z718" s="35">
        <f>IF(AQ718="5",BJ718,0)</f>
        <v>0</v>
      </c>
      <c r="AB718" s="35">
        <f>IF(AQ718="1",BH718,0)</f>
        <v>0</v>
      </c>
      <c r="AC718" s="35">
        <f>IF(AQ718="1",BI718,0)</f>
        <v>0</v>
      </c>
      <c r="AD718" s="35">
        <f>IF(AQ718="7",BH718,0)</f>
        <v>816</v>
      </c>
      <c r="AE718" s="35">
        <f>IF(AQ718="7",BI718,0)</f>
        <v>0</v>
      </c>
      <c r="AF718" s="35">
        <f>IF(AQ718="2",BH718,0)</f>
        <v>0</v>
      </c>
      <c r="AG718" s="35">
        <f>IF(AQ718="2",BI718,0)</f>
        <v>0</v>
      </c>
      <c r="AH718" s="35">
        <f>IF(AQ718="0",BJ718,0)</f>
        <v>0</v>
      </c>
      <c r="AI718" s="83" t="s">
        <v>66</v>
      </c>
      <c r="AJ718" s="65">
        <f>IF(AN718=0,L718,0)</f>
        <v>0</v>
      </c>
      <c r="AK718" s="65">
        <f>IF(AN718=15,L718,0)</f>
        <v>0</v>
      </c>
      <c r="AL718" s="65">
        <f>IF(AN718=21,L718,0)</f>
        <v>816</v>
      </c>
      <c r="AN718" s="35">
        <v>21</v>
      </c>
      <c r="AO718" s="35">
        <f>I718*1</f>
        <v>408</v>
      </c>
      <c r="AP718" s="35">
        <f>I718*(1-1)</f>
        <v>0</v>
      </c>
      <c r="AQ718" s="85" t="s">
        <v>144</v>
      </c>
      <c r="AV718" s="35">
        <f>AW718+AX718</f>
        <v>816</v>
      </c>
      <c r="AW718" s="35">
        <f>H718*AO718</f>
        <v>816</v>
      </c>
      <c r="AX718" s="35">
        <f>H718*AP718</f>
        <v>0</v>
      </c>
      <c r="AY718" s="86" t="s">
        <v>1046</v>
      </c>
      <c r="AZ718" s="86" t="s">
        <v>1073</v>
      </c>
      <c r="BA718" s="83" t="s">
        <v>1080</v>
      </c>
      <c r="BC718" s="35">
        <f>AW718+AX718</f>
        <v>816</v>
      </c>
      <c r="BD718" s="35">
        <f>I718/(100-BE718)*100</f>
        <v>408</v>
      </c>
      <c r="BE718" s="35">
        <v>0</v>
      </c>
      <c r="BF718" s="35">
        <f>718</f>
        <v>718</v>
      </c>
      <c r="BH718" s="65">
        <f>H718*AO718</f>
        <v>816</v>
      </c>
      <c r="BI718" s="65">
        <f>H718*AP718</f>
        <v>0</v>
      </c>
      <c r="BJ718" s="65">
        <f>H718*I718</f>
        <v>816</v>
      </c>
      <c r="BK718" s="65" t="s">
        <v>1001</v>
      </c>
      <c r="BL718" s="35">
        <v>751</v>
      </c>
    </row>
    <row r="719" spans="1:64" x14ac:dyDescent="0.2">
      <c r="A719" s="19"/>
      <c r="C719" s="59" t="s">
        <v>521</v>
      </c>
      <c r="D719" s="180" t="s">
        <v>945</v>
      </c>
      <c r="E719" s="181"/>
      <c r="F719" s="181"/>
      <c r="G719" s="181"/>
      <c r="H719" s="181"/>
      <c r="I719" s="182"/>
      <c r="J719" s="181"/>
      <c r="K719" s="181"/>
      <c r="L719" s="181"/>
      <c r="M719" s="183"/>
      <c r="N719" s="19"/>
    </row>
    <row r="720" spans="1:64" x14ac:dyDescent="0.2">
      <c r="A720" s="49" t="s">
        <v>473</v>
      </c>
      <c r="B720" s="57" t="s">
        <v>66</v>
      </c>
      <c r="C720" s="57" t="s">
        <v>801</v>
      </c>
      <c r="D720" s="186" t="s">
        <v>946</v>
      </c>
      <c r="E720" s="187"/>
      <c r="F720" s="187"/>
      <c r="G720" s="57" t="s">
        <v>1004</v>
      </c>
      <c r="H720" s="65">
        <v>2</v>
      </c>
      <c r="I720" s="73">
        <v>214</v>
      </c>
      <c r="J720" s="65">
        <f>H720*AO720</f>
        <v>428</v>
      </c>
      <c r="K720" s="65">
        <f>H720*AP720</f>
        <v>0</v>
      </c>
      <c r="L720" s="65">
        <f>H720*I720</f>
        <v>428</v>
      </c>
      <c r="M720" s="81"/>
      <c r="N720" s="19"/>
      <c r="Z720" s="35">
        <f>IF(AQ720="5",BJ720,0)</f>
        <v>0</v>
      </c>
      <c r="AB720" s="35">
        <f>IF(AQ720="1",BH720,0)</f>
        <v>0</v>
      </c>
      <c r="AC720" s="35">
        <f>IF(AQ720="1",BI720,0)</f>
        <v>0</v>
      </c>
      <c r="AD720" s="35">
        <f>IF(AQ720="7",BH720,0)</f>
        <v>428</v>
      </c>
      <c r="AE720" s="35">
        <f>IF(AQ720="7",BI720,0)</f>
        <v>0</v>
      </c>
      <c r="AF720" s="35">
        <f>IF(AQ720="2",BH720,0)</f>
        <v>0</v>
      </c>
      <c r="AG720" s="35">
        <f>IF(AQ720="2",BI720,0)</f>
        <v>0</v>
      </c>
      <c r="AH720" s="35">
        <f>IF(AQ720="0",BJ720,0)</f>
        <v>0</v>
      </c>
      <c r="AI720" s="83" t="s">
        <v>66</v>
      </c>
      <c r="AJ720" s="65">
        <f>IF(AN720=0,L720,0)</f>
        <v>0</v>
      </c>
      <c r="AK720" s="65">
        <f>IF(AN720=15,L720,0)</f>
        <v>0</v>
      </c>
      <c r="AL720" s="65">
        <f>IF(AN720=21,L720,0)</f>
        <v>428</v>
      </c>
      <c r="AN720" s="35">
        <v>21</v>
      </c>
      <c r="AO720" s="35">
        <f>I720*1</f>
        <v>214</v>
      </c>
      <c r="AP720" s="35">
        <f>I720*(1-1)</f>
        <v>0</v>
      </c>
      <c r="AQ720" s="85" t="s">
        <v>144</v>
      </c>
      <c r="AV720" s="35">
        <f>AW720+AX720</f>
        <v>428</v>
      </c>
      <c r="AW720" s="35">
        <f>H720*AO720</f>
        <v>428</v>
      </c>
      <c r="AX720" s="35">
        <f>H720*AP720</f>
        <v>0</v>
      </c>
      <c r="AY720" s="86" t="s">
        <v>1046</v>
      </c>
      <c r="AZ720" s="86" t="s">
        <v>1073</v>
      </c>
      <c r="BA720" s="83" t="s">
        <v>1080</v>
      </c>
      <c r="BC720" s="35">
        <f>AW720+AX720</f>
        <v>428</v>
      </c>
      <c r="BD720" s="35">
        <f>I720/(100-BE720)*100</f>
        <v>214</v>
      </c>
      <c r="BE720" s="35">
        <v>0</v>
      </c>
      <c r="BF720" s="35">
        <f>720</f>
        <v>720</v>
      </c>
      <c r="BH720" s="65">
        <f>H720*AO720</f>
        <v>428</v>
      </c>
      <c r="BI720" s="65">
        <f>H720*AP720</f>
        <v>0</v>
      </c>
      <c r="BJ720" s="65">
        <f>H720*I720</f>
        <v>428</v>
      </c>
      <c r="BK720" s="65" t="s">
        <v>1001</v>
      </c>
      <c r="BL720" s="35">
        <v>751</v>
      </c>
    </row>
    <row r="721" spans="1:64" x14ac:dyDescent="0.2">
      <c r="A721" s="19"/>
      <c r="C721" s="59" t="s">
        <v>521</v>
      </c>
      <c r="D721" s="180" t="s">
        <v>945</v>
      </c>
      <c r="E721" s="181"/>
      <c r="F721" s="181"/>
      <c r="G721" s="181"/>
      <c r="H721" s="181"/>
      <c r="I721" s="182"/>
      <c r="J721" s="181"/>
      <c r="K721" s="181"/>
      <c r="L721" s="181"/>
      <c r="M721" s="183"/>
      <c r="N721" s="19"/>
    </row>
    <row r="722" spans="1:64" x14ac:dyDescent="0.2">
      <c r="A722" s="49" t="s">
        <v>474</v>
      </c>
      <c r="B722" s="57" t="s">
        <v>66</v>
      </c>
      <c r="C722" s="57" t="s">
        <v>802</v>
      </c>
      <c r="D722" s="186" t="s">
        <v>942</v>
      </c>
      <c r="E722" s="187"/>
      <c r="F722" s="187"/>
      <c r="G722" s="57" t="s">
        <v>1004</v>
      </c>
      <c r="H722" s="65">
        <v>1</v>
      </c>
      <c r="I722" s="73">
        <v>642</v>
      </c>
      <c r="J722" s="65">
        <f>H722*AO722</f>
        <v>642</v>
      </c>
      <c r="K722" s="65">
        <f>H722*AP722</f>
        <v>0</v>
      </c>
      <c r="L722" s="65">
        <f>H722*I722</f>
        <v>642</v>
      </c>
      <c r="M722" s="81"/>
      <c r="N722" s="19"/>
      <c r="Z722" s="35">
        <f>IF(AQ722="5",BJ722,0)</f>
        <v>0</v>
      </c>
      <c r="AB722" s="35">
        <f>IF(AQ722="1",BH722,0)</f>
        <v>0</v>
      </c>
      <c r="AC722" s="35">
        <f>IF(AQ722="1",BI722,0)</f>
        <v>0</v>
      </c>
      <c r="AD722" s="35">
        <f>IF(AQ722="7",BH722,0)</f>
        <v>642</v>
      </c>
      <c r="AE722" s="35">
        <f>IF(AQ722="7",BI722,0)</f>
        <v>0</v>
      </c>
      <c r="AF722" s="35">
        <f>IF(AQ722="2",BH722,0)</f>
        <v>0</v>
      </c>
      <c r="AG722" s="35">
        <f>IF(AQ722="2",BI722,0)</f>
        <v>0</v>
      </c>
      <c r="AH722" s="35">
        <f>IF(AQ722="0",BJ722,0)</f>
        <v>0</v>
      </c>
      <c r="AI722" s="83" t="s">
        <v>66</v>
      </c>
      <c r="AJ722" s="65">
        <f>IF(AN722=0,L722,0)</f>
        <v>0</v>
      </c>
      <c r="AK722" s="65">
        <f>IF(AN722=15,L722,0)</f>
        <v>0</v>
      </c>
      <c r="AL722" s="65">
        <f>IF(AN722=21,L722,0)</f>
        <v>642</v>
      </c>
      <c r="AN722" s="35">
        <v>21</v>
      </c>
      <c r="AO722" s="35">
        <f>I722*1</f>
        <v>642</v>
      </c>
      <c r="AP722" s="35">
        <f>I722*(1-1)</f>
        <v>0</v>
      </c>
      <c r="AQ722" s="85" t="s">
        <v>144</v>
      </c>
      <c r="AV722" s="35">
        <f>AW722+AX722</f>
        <v>642</v>
      </c>
      <c r="AW722" s="35">
        <f>H722*AO722</f>
        <v>642</v>
      </c>
      <c r="AX722" s="35">
        <f>H722*AP722</f>
        <v>0</v>
      </c>
      <c r="AY722" s="86" t="s">
        <v>1046</v>
      </c>
      <c r="AZ722" s="86" t="s">
        <v>1073</v>
      </c>
      <c r="BA722" s="83" t="s">
        <v>1080</v>
      </c>
      <c r="BC722" s="35">
        <f>AW722+AX722</f>
        <v>642</v>
      </c>
      <c r="BD722" s="35">
        <f>I722/(100-BE722)*100</f>
        <v>642</v>
      </c>
      <c r="BE722" s="35">
        <v>0</v>
      </c>
      <c r="BF722" s="35">
        <f>722</f>
        <v>722</v>
      </c>
      <c r="BH722" s="65">
        <f>H722*AO722</f>
        <v>642</v>
      </c>
      <c r="BI722" s="65">
        <f>H722*AP722</f>
        <v>0</v>
      </c>
      <c r="BJ722" s="65">
        <f>H722*I722</f>
        <v>642</v>
      </c>
      <c r="BK722" s="65" t="s">
        <v>1001</v>
      </c>
      <c r="BL722" s="35">
        <v>751</v>
      </c>
    </row>
    <row r="723" spans="1:64" x14ac:dyDescent="0.2">
      <c r="A723" s="19"/>
      <c r="C723" s="59" t="s">
        <v>521</v>
      </c>
      <c r="D723" s="180" t="s">
        <v>942</v>
      </c>
      <c r="E723" s="181"/>
      <c r="F723" s="181"/>
      <c r="G723" s="181"/>
      <c r="H723" s="181"/>
      <c r="I723" s="182"/>
      <c r="J723" s="181"/>
      <c r="K723" s="181"/>
      <c r="L723" s="181"/>
      <c r="M723" s="183"/>
      <c r="N723" s="19"/>
    </row>
    <row r="724" spans="1:64" x14ac:dyDescent="0.2">
      <c r="A724" s="49" t="s">
        <v>475</v>
      </c>
      <c r="B724" s="57" t="s">
        <v>66</v>
      </c>
      <c r="C724" s="57" t="s">
        <v>803</v>
      </c>
      <c r="D724" s="186" t="s">
        <v>947</v>
      </c>
      <c r="E724" s="187"/>
      <c r="F724" s="187"/>
      <c r="G724" s="57" t="s">
        <v>1004</v>
      </c>
      <c r="H724" s="65">
        <v>1</v>
      </c>
      <c r="I724" s="73">
        <v>221</v>
      </c>
      <c r="J724" s="65">
        <f>H724*AO724</f>
        <v>221</v>
      </c>
      <c r="K724" s="65">
        <f>H724*AP724</f>
        <v>0</v>
      </c>
      <c r="L724" s="65">
        <f>H724*I724</f>
        <v>221</v>
      </c>
      <c r="M724" s="81"/>
      <c r="N724" s="19"/>
      <c r="Z724" s="35">
        <f>IF(AQ724="5",BJ724,0)</f>
        <v>0</v>
      </c>
      <c r="AB724" s="35">
        <f>IF(AQ724="1",BH724,0)</f>
        <v>0</v>
      </c>
      <c r="AC724" s="35">
        <f>IF(AQ724="1",BI724,0)</f>
        <v>0</v>
      </c>
      <c r="AD724" s="35">
        <f>IF(AQ724="7",BH724,0)</f>
        <v>221</v>
      </c>
      <c r="AE724" s="35">
        <f>IF(AQ724="7",BI724,0)</f>
        <v>0</v>
      </c>
      <c r="AF724" s="35">
        <f>IF(AQ724="2",BH724,0)</f>
        <v>0</v>
      </c>
      <c r="AG724" s="35">
        <f>IF(AQ724="2",BI724,0)</f>
        <v>0</v>
      </c>
      <c r="AH724" s="35">
        <f>IF(AQ724="0",BJ724,0)</f>
        <v>0</v>
      </c>
      <c r="AI724" s="83" t="s">
        <v>66</v>
      </c>
      <c r="AJ724" s="65">
        <f>IF(AN724=0,L724,0)</f>
        <v>0</v>
      </c>
      <c r="AK724" s="65">
        <f>IF(AN724=15,L724,0)</f>
        <v>0</v>
      </c>
      <c r="AL724" s="65">
        <f>IF(AN724=21,L724,0)</f>
        <v>221</v>
      </c>
      <c r="AN724" s="35">
        <v>21</v>
      </c>
      <c r="AO724" s="35">
        <f>I724*1</f>
        <v>221</v>
      </c>
      <c r="AP724" s="35">
        <f>I724*(1-1)</f>
        <v>0</v>
      </c>
      <c r="AQ724" s="85" t="s">
        <v>144</v>
      </c>
      <c r="AV724" s="35">
        <f>AW724+AX724</f>
        <v>221</v>
      </c>
      <c r="AW724" s="35">
        <f>H724*AO724</f>
        <v>221</v>
      </c>
      <c r="AX724" s="35">
        <f>H724*AP724</f>
        <v>0</v>
      </c>
      <c r="AY724" s="86" t="s">
        <v>1046</v>
      </c>
      <c r="AZ724" s="86" t="s">
        <v>1073</v>
      </c>
      <c r="BA724" s="83" t="s">
        <v>1080</v>
      </c>
      <c r="BC724" s="35">
        <f>AW724+AX724</f>
        <v>221</v>
      </c>
      <c r="BD724" s="35">
        <f>I724/(100-BE724)*100</f>
        <v>221</v>
      </c>
      <c r="BE724" s="35">
        <v>0</v>
      </c>
      <c r="BF724" s="35">
        <f>724</f>
        <v>724</v>
      </c>
      <c r="BH724" s="65">
        <f>H724*AO724</f>
        <v>221</v>
      </c>
      <c r="BI724" s="65">
        <f>H724*AP724</f>
        <v>0</v>
      </c>
      <c r="BJ724" s="65">
        <f>H724*I724</f>
        <v>221</v>
      </c>
      <c r="BK724" s="65" t="s">
        <v>1001</v>
      </c>
      <c r="BL724" s="35">
        <v>751</v>
      </c>
    </row>
    <row r="725" spans="1:64" x14ac:dyDescent="0.2">
      <c r="A725" s="19"/>
      <c r="C725" s="59" t="s">
        <v>521</v>
      </c>
      <c r="D725" s="180" t="s">
        <v>947</v>
      </c>
      <c r="E725" s="181"/>
      <c r="F725" s="181"/>
      <c r="G725" s="181"/>
      <c r="H725" s="181"/>
      <c r="I725" s="182"/>
      <c r="J725" s="181"/>
      <c r="K725" s="181"/>
      <c r="L725" s="181"/>
      <c r="M725" s="183"/>
      <c r="N725" s="19"/>
    </row>
    <row r="726" spans="1:64" x14ac:dyDescent="0.2">
      <c r="A726" s="47" t="s">
        <v>476</v>
      </c>
      <c r="B726" s="55" t="s">
        <v>66</v>
      </c>
      <c r="C726" s="55" t="s">
        <v>614</v>
      </c>
      <c r="D726" s="178" t="s">
        <v>948</v>
      </c>
      <c r="E726" s="179"/>
      <c r="F726" s="179"/>
      <c r="G726" s="55" t="s">
        <v>1003</v>
      </c>
      <c r="H726" s="64">
        <v>3</v>
      </c>
      <c r="I726" s="71">
        <v>89</v>
      </c>
      <c r="J726" s="64">
        <f>H726*AO726</f>
        <v>0</v>
      </c>
      <c r="K726" s="64">
        <f>H726*AP726</f>
        <v>267</v>
      </c>
      <c r="L726" s="64">
        <f>H726*I726</f>
        <v>267</v>
      </c>
      <c r="M726" s="79"/>
      <c r="N726" s="19"/>
      <c r="Z726" s="35">
        <f>IF(AQ726="5",BJ726,0)</f>
        <v>0</v>
      </c>
      <c r="AB726" s="35">
        <f>IF(AQ726="1",BH726,0)</f>
        <v>0</v>
      </c>
      <c r="AC726" s="35">
        <f>IF(AQ726="1",BI726,0)</f>
        <v>0</v>
      </c>
      <c r="AD726" s="35">
        <f>IF(AQ726="7",BH726,0)</f>
        <v>0</v>
      </c>
      <c r="AE726" s="35">
        <f>IF(AQ726="7",BI726,0)</f>
        <v>267</v>
      </c>
      <c r="AF726" s="35">
        <f>IF(AQ726="2",BH726,0)</f>
        <v>0</v>
      </c>
      <c r="AG726" s="35">
        <f>IF(AQ726="2",BI726,0)</f>
        <v>0</v>
      </c>
      <c r="AH726" s="35">
        <f>IF(AQ726="0",BJ726,0)</f>
        <v>0</v>
      </c>
      <c r="AI726" s="83" t="s">
        <v>66</v>
      </c>
      <c r="AJ726" s="64">
        <f>IF(AN726=0,L726,0)</f>
        <v>0</v>
      </c>
      <c r="AK726" s="64">
        <f>IF(AN726=15,L726,0)</f>
        <v>0</v>
      </c>
      <c r="AL726" s="64">
        <f>IF(AN726=21,L726,0)</f>
        <v>267</v>
      </c>
      <c r="AN726" s="35">
        <v>21</v>
      </c>
      <c r="AO726" s="35">
        <f>I726*0</f>
        <v>0</v>
      </c>
      <c r="AP726" s="35">
        <f>I726*(1-0)</f>
        <v>89</v>
      </c>
      <c r="AQ726" s="84" t="s">
        <v>144</v>
      </c>
      <c r="AV726" s="35">
        <f>AW726+AX726</f>
        <v>267</v>
      </c>
      <c r="AW726" s="35">
        <f>H726*AO726</f>
        <v>0</v>
      </c>
      <c r="AX726" s="35">
        <f>H726*AP726</f>
        <v>267</v>
      </c>
      <c r="AY726" s="86" t="s">
        <v>1046</v>
      </c>
      <c r="AZ726" s="86" t="s">
        <v>1073</v>
      </c>
      <c r="BA726" s="83" t="s">
        <v>1080</v>
      </c>
      <c r="BC726" s="35">
        <f>AW726+AX726</f>
        <v>267</v>
      </c>
      <c r="BD726" s="35">
        <f>I726/(100-BE726)*100</f>
        <v>89</v>
      </c>
      <c r="BE726" s="35">
        <v>0</v>
      </c>
      <c r="BF726" s="35">
        <f>726</f>
        <v>726</v>
      </c>
      <c r="BH726" s="64">
        <f>H726*AO726</f>
        <v>0</v>
      </c>
      <c r="BI726" s="64">
        <f>H726*AP726</f>
        <v>267</v>
      </c>
      <c r="BJ726" s="64">
        <f>H726*I726</f>
        <v>267</v>
      </c>
      <c r="BK726" s="64" t="s">
        <v>1086</v>
      </c>
      <c r="BL726" s="35">
        <v>751</v>
      </c>
    </row>
    <row r="727" spans="1:64" x14ac:dyDescent="0.2">
      <c r="A727" s="19"/>
      <c r="C727" s="59" t="s">
        <v>521</v>
      </c>
      <c r="D727" s="180" t="s">
        <v>948</v>
      </c>
      <c r="E727" s="181"/>
      <c r="F727" s="181"/>
      <c r="G727" s="181"/>
      <c r="H727" s="181"/>
      <c r="I727" s="182"/>
      <c r="J727" s="181"/>
      <c r="K727" s="181"/>
      <c r="L727" s="181"/>
      <c r="M727" s="183"/>
      <c r="N727" s="19"/>
    </row>
    <row r="728" spans="1:64" x14ac:dyDescent="0.2">
      <c r="A728" s="49" t="s">
        <v>477</v>
      </c>
      <c r="B728" s="57" t="s">
        <v>66</v>
      </c>
      <c r="C728" s="57" t="s">
        <v>804</v>
      </c>
      <c r="D728" s="186" t="s">
        <v>949</v>
      </c>
      <c r="E728" s="187"/>
      <c r="F728" s="187"/>
      <c r="G728" s="57"/>
      <c r="H728" s="65">
        <v>3</v>
      </c>
      <c r="I728" s="73">
        <v>470</v>
      </c>
      <c r="J728" s="65">
        <f>H728*AO728</f>
        <v>1410</v>
      </c>
      <c r="K728" s="65">
        <f>H728*AP728</f>
        <v>0</v>
      </c>
      <c r="L728" s="65">
        <f>H728*I728</f>
        <v>1410</v>
      </c>
      <c r="M728" s="81"/>
      <c r="N728" s="19"/>
      <c r="Z728" s="35">
        <f>IF(AQ728="5",BJ728,0)</f>
        <v>0</v>
      </c>
      <c r="AB728" s="35">
        <f>IF(AQ728="1",BH728,0)</f>
        <v>0</v>
      </c>
      <c r="AC728" s="35">
        <f>IF(AQ728="1",BI728,0)</f>
        <v>0</v>
      </c>
      <c r="AD728" s="35">
        <f>IF(AQ728="7",BH728,0)</f>
        <v>1410</v>
      </c>
      <c r="AE728" s="35">
        <f>IF(AQ728="7",BI728,0)</f>
        <v>0</v>
      </c>
      <c r="AF728" s="35">
        <f>IF(AQ728="2",BH728,0)</f>
        <v>0</v>
      </c>
      <c r="AG728" s="35">
        <f>IF(AQ728="2",BI728,0)</f>
        <v>0</v>
      </c>
      <c r="AH728" s="35">
        <f>IF(AQ728="0",BJ728,0)</f>
        <v>0</v>
      </c>
      <c r="AI728" s="83" t="s">
        <v>66</v>
      </c>
      <c r="AJ728" s="65">
        <f>IF(AN728=0,L728,0)</f>
        <v>0</v>
      </c>
      <c r="AK728" s="65">
        <f>IF(AN728=15,L728,0)</f>
        <v>0</v>
      </c>
      <c r="AL728" s="65">
        <f>IF(AN728=21,L728,0)</f>
        <v>1410</v>
      </c>
      <c r="AN728" s="35">
        <v>21</v>
      </c>
      <c r="AO728" s="35">
        <f>I728*1</f>
        <v>470</v>
      </c>
      <c r="AP728" s="35">
        <f>I728*(1-1)</f>
        <v>0</v>
      </c>
      <c r="AQ728" s="85" t="s">
        <v>144</v>
      </c>
      <c r="AV728" s="35">
        <f>AW728+AX728</f>
        <v>1410</v>
      </c>
      <c r="AW728" s="35">
        <f>H728*AO728</f>
        <v>1410</v>
      </c>
      <c r="AX728" s="35">
        <f>H728*AP728</f>
        <v>0</v>
      </c>
      <c r="AY728" s="86" t="s">
        <v>1046</v>
      </c>
      <c r="AZ728" s="86" t="s">
        <v>1073</v>
      </c>
      <c r="BA728" s="83" t="s">
        <v>1080</v>
      </c>
      <c r="BC728" s="35">
        <f>AW728+AX728</f>
        <v>1410</v>
      </c>
      <c r="BD728" s="35">
        <f>I728/(100-BE728)*100</f>
        <v>470</v>
      </c>
      <c r="BE728" s="35">
        <v>0</v>
      </c>
      <c r="BF728" s="35">
        <f>728</f>
        <v>728</v>
      </c>
      <c r="BH728" s="65">
        <f>H728*AO728</f>
        <v>1410</v>
      </c>
      <c r="BI728" s="65">
        <f>H728*AP728</f>
        <v>0</v>
      </c>
      <c r="BJ728" s="65">
        <f>H728*I728</f>
        <v>1410</v>
      </c>
      <c r="BK728" s="65" t="s">
        <v>1001</v>
      </c>
      <c r="BL728" s="35">
        <v>751</v>
      </c>
    </row>
    <row r="729" spans="1:64" x14ac:dyDescent="0.2">
      <c r="A729" s="19"/>
      <c r="C729" s="59" t="s">
        <v>521</v>
      </c>
      <c r="D729" s="180" t="s">
        <v>949</v>
      </c>
      <c r="E729" s="181"/>
      <c r="F729" s="181"/>
      <c r="G729" s="181"/>
      <c r="H729" s="181"/>
      <c r="I729" s="182"/>
      <c r="J729" s="181"/>
      <c r="K729" s="181"/>
      <c r="L729" s="181"/>
      <c r="M729" s="183"/>
      <c r="N729" s="19"/>
    </row>
    <row r="730" spans="1:64" x14ac:dyDescent="0.2">
      <c r="A730" s="47" t="s">
        <v>478</v>
      </c>
      <c r="B730" s="55" t="s">
        <v>66</v>
      </c>
      <c r="C730" s="55" t="s">
        <v>616</v>
      </c>
      <c r="D730" s="178" t="s">
        <v>970</v>
      </c>
      <c r="E730" s="179"/>
      <c r="F730" s="179"/>
      <c r="G730" s="55" t="s">
        <v>1003</v>
      </c>
      <c r="H730" s="64">
        <v>4</v>
      </c>
      <c r="I730" s="71">
        <v>310</v>
      </c>
      <c r="J730" s="64">
        <f>H730*AO730</f>
        <v>0</v>
      </c>
      <c r="K730" s="64">
        <f>H730*AP730</f>
        <v>1240</v>
      </c>
      <c r="L730" s="64">
        <f>H730*I730</f>
        <v>1240</v>
      </c>
      <c r="M730" s="79"/>
      <c r="N730" s="19"/>
      <c r="Z730" s="35">
        <f>IF(AQ730="5",BJ730,0)</f>
        <v>0</v>
      </c>
      <c r="AB730" s="35">
        <f>IF(AQ730="1",BH730,0)</f>
        <v>0</v>
      </c>
      <c r="AC730" s="35">
        <f>IF(AQ730="1",BI730,0)</f>
        <v>0</v>
      </c>
      <c r="AD730" s="35">
        <f>IF(AQ730="7",BH730,0)</f>
        <v>0</v>
      </c>
      <c r="AE730" s="35">
        <f>IF(AQ730="7",BI730,0)</f>
        <v>1240</v>
      </c>
      <c r="AF730" s="35">
        <f>IF(AQ730="2",BH730,0)</f>
        <v>0</v>
      </c>
      <c r="AG730" s="35">
        <f>IF(AQ730="2",BI730,0)</f>
        <v>0</v>
      </c>
      <c r="AH730" s="35">
        <f>IF(AQ730="0",BJ730,0)</f>
        <v>0</v>
      </c>
      <c r="AI730" s="83" t="s">
        <v>66</v>
      </c>
      <c r="AJ730" s="64">
        <f>IF(AN730=0,L730,0)</f>
        <v>0</v>
      </c>
      <c r="AK730" s="64">
        <f>IF(AN730=15,L730,0)</f>
        <v>0</v>
      </c>
      <c r="AL730" s="64">
        <f>IF(AN730=21,L730,0)</f>
        <v>1240</v>
      </c>
      <c r="AN730" s="35">
        <v>21</v>
      </c>
      <c r="AO730" s="35">
        <f>I730*0</f>
        <v>0</v>
      </c>
      <c r="AP730" s="35">
        <f>I730*(1-0)</f>
        <v>310</v>
      </c>
      <c r="AQ730" s="84" t="s">
        <v>144</v>
      </c>
      <c r="AV730" s="35">
        <f>AW730+AX730</f>
        <v>1240</v>
      </c>
      <c r="AW730" s="35">
        <f>H730*AO730</f>
        <v>0</v>
      </c>
      <c r="AX730" s="35">
        <f>H730*AP730</f>
        <v>1240</v>
      </c>
      <c r="AY730" s="86" t="s">
        <v>1046</v>
      </c>
      <c r="AZ730" s="86" t="s">
        <v>1073</v>
      </c>
      <c r="BA730" s="83" t="s">
        <v>1080</v>
      </c>
      <c r="BC730" s="35">
        <f>AW730+AX730</f>
        <v>1240</v>
      </c>
      <c r="BD730" s="35">
        <f>I730/(100-BE730)*100</f>
        <v>310</v>
      </c>
      <c r="BE730" s="35">
        <v>0</v>
      </c>
      <c r="BF730" s="35">
        <f>730</f>
        <v>730</v>
      </c>
      <c r="BH730" s="64">
        <f>H730*AO730</f>
        <v>0</v>
      </c>
      <c r="BI730" s="64">
        <f>H730*AP730</f>
        <v>1240</v>
      </c>
      <c r="BJ730" s="64">
        <f>H730*I730</f>
        <v>1240</v>
      </c>
      <c r="BK730" s="64" t="s">
        <v>1086</v>
      </c>
      <c r="BL730" s="35">
        <v>751</v>
      </c>
    </row>
    <row r="731" spans="1:64" x14ac:dyDescent="0.2">
      <c r="A731" s="19"/>
      <c r="C731" s="59" t="s">
        <v>521</v>
      </c>
      <c r="D731" s="180" t="s">
        <v>970</v>
      </c>
      <c r="E731" s="181"/>
      <c r="F731" s="181"/>
      <c r="G731" s="181"/>
      <c r="H731" s="181"/>
      <c r="I731" s="182"/>
      <c r="J731" s="181"/>
      <c r="K731" s="181"/>
      <c r="L731" s="181"/>
      <c r="M731" s="183"/>
      <c r="N731" s="19"/>
    </row>
    <row r="732" spans="1:64" x14ac:dyDescent="0.2">
      <c r="A732" s="49" t="s">
        <v>479</v>
      </c>
      <c r="B732" s="57" t="s">
        <v>66</v>
      </c>
      <c r="C732" s="57" t="s">
        <v>805</v>
      </c>
      <c r="D732" s="186" t="s">
        <v>971</v>
      </c>
      <c r="E732" s="187"/>
      <c r="F732" s="187"/>
      <c r="G732" s="57" t="s">
        <v>1004</v>
      </c>
      <c r="H732" s="65">
        <v>2</v>
      </c>
      <c r="I732" s="73">
        <v>1574</v>
      </c>
      <c r="J732" s="65">
        <f>H732*AO732</f>
        <v>3148</v>
      </c>
      <c r="K732" s="65">
        <f>H732*AP732</f>
        <v>0</v>
      </c>
      <c r="L732" s="65">
        <f>H732*I732</f>
        <v>3148</v>
      </c>
      <c r="M732" s="81"/>
      <c r="N732" s="19"/>
      <c r="Z732" s="35">
        <f>IF(AQ732="5",BJ732,0)</f>
        <v>0</v>
      </c>
      <c r="AB732" s="35">
        <f>IF(AQ732="1",BH732,0)</f>
        <v>0</v>
      </c>
      <c r="AC732" s="35">
        <f>IF(AQ732="1",BI732,0)</f>
        <v>0</v>
      </c>
      <c r="AD732" s="35">
        <f>IF(AQ732="7",BH732,0)</f>
        <v>3148</v>
      </c>
      <c r="AE732" s="35">
        <f>IF(AQ732="7",BI732,0)</f>
        <v>0</v>
      </c>
      <c r="AF732" s="35">
        <f>IF(AQ732="2",BH732,0)</f>
        <v>0</v>
      </c>
      <c r="AG732" s="35">
        <f>IF(AQ732="2",BI732,0)</f>
        <v>0</v>
      </c>
      <c r="AH732" s="35">
        <f>IF(AQ732="0",BJ732,0)</f>
        <v>0</v>
      </c>
      <c r="AI732" s="83" t="s">
        <v>66</v>
      </c>
      <c r="AJ732" s="65">
        <f>IF(AN732=0,L732,0)</f>
        <v>0</v>
      </c>
      <c r="AK732" s="65">
        <f>IF(AN732=15,L732,0)</f>
        <v>0</v>
      </c>
      <c r="AL732" s="65">
        <f>IF(AN732=21,L732,0)</f>
        <v>3148</v>
      </c>
      <c r="AN732" s="35">
        <v>21</v>
      </c>
      <c r="AO732" s="35">
        <f>I732*1</f>
        <v>1574</v>
      </c>
      <c r="AP732" s="35">
        <f>I732*(1-1)</f>
        <v>0</v>
      </c>
      <c r="AQ732" s="85" t="s">
        <v>144</v>
      </c>
      <c r="AV732" s="35">
        <f>AW732+AX732</f>
        <v>3148</v>
      </c>
      <c r="AW732" s="35">
        <f>H732*AO732</f>
        <v>3148</v>
      </c>
      <c r="AX732" s="35">
        <f>H732*AP732</f>
        <v>0</v>
      </c>
      <c r="AY732" s="86" t="s">
        <v>1046</v>
      </c>
      <c r="AZ732" s="86" t="s">
        <v>1073</v>
      </c>
      <c r="BA732" s="83" t="s">
        <v>1080</v>
      </c>
      <c r="BC732" s="35">
        <f>AW732+AX732</f>
        <v>3148</v>
      </c>
      <c r="BD732" s="35">
        <f>I732/(100-BE732)*100</f>
        <v>1574</v>
      </c>
      <c r="BE732" s="35">
        <v>0</v>
      </c>
      <c r="BF732" s="35">
        <f>732</f>
        <v>732</v>
      </c>
      <c r="BH732" s="65">
        <f>H732*AO732</f>
        <v>3148</v>
      </c>
      <c r="BI732" s="65">
        <f>H732*AP732</f>
        <v>0</v>
      </c>
      <c r="BJ732" s="65">
        <f>H732*I732</f>
        <v>3148</v>
      </c>
      <c r="BK732" s="65" t="s">
        <v>1001</v>
      </c>
      <c r="BL732" s="35">
        <v>751</v>
      </c>
    </row>
    <row r="733" spans="1:64" x14ac:dyDescent="0.2">
      <c r="A733" s="19"/>
      <c r="C733" s="59" t="s">
        <v>521</v>
      </c>
      <c r="D733" s="180" t="s">
        <v>971</v>
      </c>
      <c r="E733" s="181"/>
      <c r="F733" s="181"/>
      <c r="G733" s="181"/>
      <c r="H733" s="181"/>
      <c r="I733" s="182"/>
      <c r="J733" s="181"/>
      <c r="K733" s="181"/>
      <c r="L733" s="181"/>
      <c r="M733" s="183"/>
      <c r="N733" s="19"/>
    </row>
    <row r="734" spans="1:64" x14ac:dyDescent="0.2">
      <c r="A734" s="49" t="s">
        <v>480</v>
      </c>
      <c r="B734" s="57" t="s">
        <v>66</v>
      </c>
      <c r="C734" s="57" t="s">
        <v>806</v>
      </c>
      <c r="D734" s="186" t="s">
        <v>952</v>
      </c>
      <c r="E734" s="187"/>
      <c r="F734" s="187"/>
      <c r="G734" s="57" t="s">
        <v>1004</v>
      </c>
      <c r="H734" s="65">
        <v>2</v>
      </c>
      <c r="I734" s="73">
        <v>1648</v>
      </c>
      <c r="J734" s="65">
        <f>H734*AO734</f>
        <v>3296</v>
      </c>
      <c r="K734" s="65">
        <f>H734*AP734</f>
        <v>0</v>
      </c>
      <c r="L734" s="65">
        <f>H734*I734</f>
        <v>3296</v>
      </c>
      <c r="M734" s="81"/>
      <c r="N734" s="19"/>
      <c r="Z734" s="35">
        <f>IF(AQ734="5",BJ734,0)</f>
        <v>0</v>
      </c>
      <c r="AB734" s="35">
        <f>IF(AQ734="1",BH734,0)</f>
        <v>0</v>
      </c>
      <c r="AC734" s="35">
        <f>IF(AQ734="1",BI734,0)</f>
        <v>0</v>
      </c>
      <c r="AD734" s="35">
        <f>IF(AQ734="7",BH734,0)</f>
        <v>3296</v>
      </c>
      <c r="AE734" s="35">
        <f>IF(AQ734="7",BI734,0)</f>
        <v>0</v>
      </c>
      <c r="AF734" s="35">
        <f>IF(AQ734="2",BH734,0)</f>
        <v>0</v>
      </c>
      <c r="AG734" s="35">
        <f>IF(AQ734="2",BI734,0)</f>
        <v>0</v>
      </c>
      <c r="AH734" s="35">
        <f>IF(AQ734="0",BJ734,0)</f>
        <v>0</v>
      </c>
      <c r="AI734" s="83" t="s">
        <v>66</v>
      </c>
      <c r="AJ734" s="65">
        <f>IF(AN734=0,L734,0)</f>
        <v>0</v>
      </c>
      <c r="AK734" s="65">
        <f>IF(AN734=15,L734,0)</f>
        <v>0</v>
      </c>
      <c r="AL734" s="65">
        <f>IF(AN734=21,L734,0)</f>
        <v>3296</v>
      </c>
      <c r="AN734" s="35">
        <v>21</v>
      </c>
      <c r="AO734" s="35">
        <f>I734*1</f>
        <v>1648</v>
      </c>
      <c r="AP734" s="35">
        <f>I734*(1-1)</f>
        <v>0</v>
      </c>
      <c r="AQ734" s="85" t="s">
        <v>144</v>
      </c>
      <c r="AV734" s="35">
        <f>AW734+AX734</f>
        <v>3296</v>
      </c>
      <c r="AW734" s="35">
        <f>H734*AO734</f>
        <v>3296</v>
      </c>
      <c r="AX734" s="35">
        <f>H734*AP734</f>
        <v>0</v>
      </c>
      <c r="AY734" s="86" t="s">
        <v>1046</v>
      </c>
      <c r="AZ734" s="86" t="s">
        <v>1073</v>
      </c>
      <c r="BA734" s="83" t="s">
        <v>1080</v>
      </c>
      <c r="BC734" s="35">
        <f>AW734+AX734</f>
        <v>3296</v>
      </c>
      <c r="BD734" s="35">
        <f>I734/(100-BE734)*100</f>
        <v>1648</v>
      </c>
      <c r="BE734" s="35">
        <v>0</v>
      </c>
      <c r="BF734" s="35">
        <f>734</f>
        <v>734</v>
      </c>
      <c r="BH734" s="65">
        <f>H734*AO734</f>
        <v>3296</v>
      </c>
      <c r="BI734" s="65">
        <f>H734*AP734</f>
        <v>0</v>
      </c>
      <c r="BJ734" s="65">
        <f>H734*I734</f>
        <v>3296</v>
      </c>
      <c r="BK734" s="65" t="s">
        <v>1001</v>
      </c>
      <c r="BL734" s="35">
        <v>751</v>
      </c>
    </row>
    <row r="735" spans="1:64" x14ac:dyDescent="0.2">
      <c r="A735" s="19"/>
      <c r="C735" s="59" t="s">
        <v>521</v>
      </c>
      <c r="D735" s="180" t="s">
        <v>952</v>
      </c>
      <c r="E735" s="181"/>
      <c r="F735" s="181"/>
      <c r="G735" s="181"/>
      <c r="H735" s="181"/>
      <c r="I735" s="182"/>
      <c r="J735" s="181"/>
      <c r="K735" s="181"/>
      <c r="L735" s="181"/>
      <c r="M735" s="183"/>
      <c r="N735" s="19"/>
    </row>
    <row r="736" spans="1:64" x14ac:dyDescent="0.2">
      <c r="A736" s="49" t="s">
        <v>481</v>
      </c>
      <c r="B736" s="57" t="s">
        <v>66</v>
      </c>
      <c r="C736" s="57" t="s">
        <v>807</v>
      </c>
      <c r="D736" s="186" t="s">
        <v>953</v>
      </c>
      <c r="E736" s="187"/>
      <c r="F736" s="187"/>
      <c r="G736" s="57" t="s">
        <v>1007</v>
      </c>
      <c r="H736" s="65">
        <v>10</v>
      </c>
      <c r="I736" s="73">
        <v>285</v>
      </c>
      <c r="J736" s="65">
        <f>H736*AO736</f>
        <v>2850</v>
      </c>
      <c r="K736" s="65">
        <f>H736*AP736</f>
        <v>0</v>
      </c>
      <c r="L736" s="65">
        <f>H736*I736</f>
        <v>2850</v>
      </c>
      <c r="M736" s="81"/>
      <c r="N736" s="19"/>
      <c r="Z736" s="35">
        <f>IF(AQ736="5",BJ736,0)</f>
        <v>0</v>
      </c>
      <c r="AB736" s="35">
        <f>IF(AQ736="1",BH736,0)</f>
        <v>0</v>
      </c>
      <c r="AC736" s="35">
        <f>IF(AQ736="1",BI736,0)</f>
        <v>0</v>
      </c>
      <c r="AD736" s="35">
        <f>IF(AQ736="7",BH736,0)</f>
        <v>2850</v>
      </c>
      <c r="AE736" s="35">
        <f>IF(AQ736="7",BI736,0)</f>
        <v>0</v>
      </c>
      <c r="AF736" s="35">
        <f>IF(AQ736="2",BH736,0)</f>
        <v>0</v>
      </c>
      <c r="AG736" s="35">
        <f>IF(AQ736="2",BI736,0)</f>
        <v>0</v>
      </c>
      <c r="AH736" s="35">
        <f>IF(AQ736="0",BJ736,0)</f>
        <v>0</v>
      </c>
      <c r="AI736" s="83" t="s">
        <v>66</v>
      </c>
      <c r="AJ736" s="65">
        <f>IF(AN736=0,L736,0)</f>
        <v>0</v>
      </c>
      <c r="AK736" s="65">
        <f>IF(AN736=15,L736,0)</f>
        <v>0</v>
      </c>
      <c r="AL736" s="65">
        <f>IF(AN736=21,L736,0)</f>
        <v>2850</v>
      </c>
      <c r="AN736" s="35">
        <v>21</v>
      </c>
      <c r="AO736" s="35">
        <f>I736*1</f>
        <v>285</v>
      </c>
      <c r="AP736" s="35">
        <f>I736*(1-1)</f>
        <v>0</v>
      </c>
      <c r="AQ736" s="85" t="s">
        <v>144</v>
      </c>
      <c r="AV736" s="35">
        <f>AW736+AX736</f>
        <v>2850</v>
      </c>
      <c r="AW736" s="35">
        <f>H736*AO736</f>
        <v>2850</v>
      </c>
      <c r="AX736" s="35">
        <f>H736*AP736</f>
        <v>0</v>
      </c>
      <c r="AY736" s="86" t="s">
        <v>1046</v>
      </c>
      <c r="AZ736" s="86" t="s">
        <v>1073</v>
      </c>
      <c r="BA736" s="83" t="s">
        <v>1080</v>
      </c>
      <c r="BC736" s="35">
        <f>AW736+AX736</f>
        <v>2850</v>
      </c>
      <c r="BD736" s="35">
        <f>I736/(100-BE736)*100</f>
        <v>285</v>
      </c>
      <c r="BE736" s="35">
        <v>0</v>
      </c>
      <c r="BF736" s="35">
        <f>736</f>
        <v>736</v>
      </c>
      <c r="BH736" s="65">
        <f>H736*AO736</f>
        <v>2850</v>
      </c>
      <c r="BI736" s="65">
        <f>H736*AP736</f>
        <v>0</v>
      </c>
      <c r="BJ736" s="65">
        <f>H736*I736</f>
        <v>2850</v>
      </c>
      <c r="BK736" s="65" t="s">
        <v>1001</v>
      </c>
      <c r="BL736" s="35">
        <v>751</v>
      </c>
    </row>
    <row r="737" spans="1:64" x14ac:dyDescent="0.2">
      <c r="A737" s="19"/>
      <c r="C737" s="59" t="s">
        <v>521</v>
      </c>
      <c r="D737" s="180" t="s">
        <v>953</v>
      </c>
      <c r="E737" s="181"/>
      <c r="F737" s="181"/>
      <c r="G737" s="181"/>
      <c r="H737" s="181"/>
      <c r="I737" s="182"/>
      <c r="J737" s="181"/>
      <c r="K737" s="181"/>
      <c r="L737" s="181"/>
      <c r="M737" s="183"/>
      <c r="N737" s="19"/>
    </row>
    <row r="738" spans="1:64" x14ac:dyDescent="0.2">
      <c r="A738" s="47" t="s">
        <v>482</v>
      </c>
      <c r="B738" s="55" t="s">
        <v>66</v>
      </c>
      <c r="C738" s="55" t="s">
        <v>620</v>
      </c>
      <c r="D738" s="178" t="s">
        <v>954</v>
      </c>
      <c r="E738" s="179"/>
      <c r="F738" s="179"/>
      <c r="G738" s="55" t="s">
        <v>1003</v>
      </c>
      <c r="H738" s="64">
        <v>14</v>
      </c>
      <c r="I738" s="71">
        <v>294</v>
      </c>
      <c r="J738" s="64">
        <f>H738*AO738</f>
        <v>0</v>
      </c>
      <c r="K738" s="64">
        <f>H738*AP738</f>
        <v>4116</v>
      </c>
      <c r="L738" s="64">
        <f>H738*I738</f>
        <v>4116</v>
      </c>
      <c r="M738" s="79"/>
      <c r="N738" s="19"/>
      <c r="Z738" s="35">
        <f>IF(AQ738="5",BJ738,0)</f>
        <v>0</v>
      </c>
      <c r="AB738" s="35">
        <f>IF(AQ738="1",BH738,0)</f>
        <v>0</v>
      </c>
      <c r="AC738" s="35">
        <f>IF(AQ738="1",BI738,0)</f>
        <v>0</v>
      </c>
      <c r="AD738" s="35">
        <f>IF(AQ738="7",BH738,0)</f>
        <v>0</v>
      </c>
      <c r="AE738" s="35">
        <f>IF(AQ738="7",BI738,0)</f>
        <v>4116</v>
      </c>
      <c r="AF738" s="35">
        <f>IF(AQ738="2",BH738,0)</f>
        <v>0</v>
      </c>
      <c r="AG738" s="35">
        <f>IF(AQ738="2",BI738,0)</f>
        <v>0</v>
      </c>
      <c r="AH738" s="35">
        <f>IF(AQ738="0",BJ738,0)</f>
        <v>0</v>
      </c>
      <c r="AI738" s="83" t="s">
        <v>66</v>
      </c>
      <c r="AJ738" s="64">
        <f>IF(AN738=0,L738,0)</f>
        <v>0</v>
      </c>
      <c r="AK738" s="64">
        <f>IF(AN738=15,L738,0)</f>
        <v>0</v>
      </c>
      <c r="AL738" s="64">
        <f>IF(AN738=21,L738,0)</f>
        <v>4116</v>
      </c>
      <c r="AN738" s="35">
        <v>21</v>
      </c>
      <c r="AO738" s="35">
        <f>I738*0</f>
        <v>0</v>
      </c>
      <c r="AP738" s="35">
        <f>I738*(1-0)</f>
        <v>294</v>
      </c>
      <c r="AQ738" s="84" t="s">
        <v>144</v>
      </c>
      <c r="AV738" s="35">
        <f>AW738+AX738</f>
        <v>4116</v>
      </c>
      <c r="AW738" s="35">
        <f>H738*AO738</f>
        <v>0</v>
      </c>
      <c r="AX738" s="35">
        <f>H738*AP738</f>
        <v>4116</v>
      </c>
      <c r="AY738" s="86" t="s">
        <v>1046</v>
      </c>
      <c r="AZ738" s="86" t="s">
        <v>1073</v>
      </c>
      <c r="BA738" s="83" t="s">
        <v>1080</v>
      </c>
      <c r="BC738" s="35">
        <f>AW738+AX738</f>
        <v>4116</v>
      </c>
      <c r="BD738" s="35">
        <f>I738/(100-BE738)*100</f>
        <v>294</v>
      </c>
      <c r="BE738" s="35">
        <v>0</v>
      </c>
      <c r="BF738" s="35">
        <f>738</f>
        <v>738</v>
      </c>
      <c r="BH738" s="64">
        <f>H738*AO738</f>
        <v>0</v>
      </c>
      <c r="BI738" s="64">
        <f>H738*AP738</f>
        <v>4116</v>
      </c>
      <c r="BJ738" s="64">
        <f>H738*I738</f>
        <v>4116</v>
      </c>
      <c r="BK738" s="64" t="s">
        <v>1086</v>
      </c>
      <c r="BL738" s="35">
        <v>751</v>
      </c>
    </row>
    <row r="739" spans="1:64" x14ac:dyDescent="0.2">
      <c r="A739" s="19"/>
      <c r="C739" s="59" t="s">
        <v>521</v>
      </c>
      <c r="D739" s="180" t="s">
        <v>954</v>
      </c>
      <c r="E739" s="181"/>
      <c r="F739" s="181"/>
      <c r="G739" s="181"/>
      <c r="H739" s="181"/>
      <c r="I739" s="182"/>
      <c r="J739" s="181"/>
      <c r="K739" s="181"/>
      <c r="L739" s="181"/>
      <c r="M739" s="183"/>
      <c r="N739" s="19"/>
    </row>
    <row r="740" spans="1:64" x14ac:dyDescent="0.2">
      <c r="A740" s="49" t="s">
        <v>483</v>
      </c>
      <c r="B740" s="57" t="s">
        <v>66</v>
      </c>
      <c r="C740" s="57" t="s">
        <v>808</v>
      </c>
      <c r="D740" s="186" t="s">
        <v>955</v>
      </c>
      <c r="E740" s="187"/>
      <c r="F740" s="187"/>
      <c r="G740" s="57" t="s">
        <v>1004</v>
      </c>
      <c r="H740" s="65">
        <v>14</v>
      </c>
      <c r="I740" s="73">
        <v>851</v>
      </c>
      <c r="J740" s="65">
        <f>H740*AO740</f>
        <v>11914</v>
      </c>
      <c r="K740" s="65">
        <f>H740*AP740</f>
        <v>0</v>
      </c>
      <c r="L740" s="65">
        <f>H740*I740</f>
        <v>11914</v>
      </c>
      <c r="M740" s="81"/>
      <c r="N740" s="19"/>
      <c r="Z740" s="35">
        <f>IF(AQ740="5",BJ740,0)</f>
        <v>0</v>
      </c>
      <c r="AB740" s="35">
        <f>IF(AQ740="1",BH740,0)</f>
        <v>0</v>
      </c>
      <c r="AC740" s="35">
        <f>IF(AQ740="1",BI740,0)</f>
        <v>0</v>
      </c>
      <c r="AD740" s="35">
        <f>IF(AQ740="7",BH740,0)</f>
        <v>11914</v>
      </c>
      <c r="AE740" s="35">
        <f>IF(AQ740="7",BI740,0)</f>
        <v>0</v>
      </c>
      <c r="AF740" s="35">
        <f>IF(AQ740="2",BH740,0)</f>
        <v>0</v>
      </c>
      <c r="AG740" s="35">
        <f>IF(AQ740="2",BI740,0)</f>
        <v>0</v>
      </c>
      <c r="AH740" s="35">
        <f>IF(AQ740="0",BJ740,0)</f>
        <v>0</v>
      </c>
      <c r="AI740" s="83" t="s">
        <v>66</v>
      </c>
      <c r="AJ740" s="65">
        <f>IF(AN740=0,L740,0)</f>
        <v>0</v>
      </c>
      <c r="AK740" s="65">
        <f>IF(AN740=15,L740,0)</f>
        <v>0</v>
      </c>
      <c r="AL740" s="65">
        <f>IF(AN740=21,L740,0)</f>
        <v>11914</v>
      </c>
      <c r="AN740" s="35">
        <v>21</v>
      </c>
      <c r="AO740" s="35">
        <f>I740*1</f>
        <v>851</v>
      </c>
      <c r="AP740" s="35">
        <f>I740*(1-1)</f>
        <v>0</v>
      </c>
      <c r="AQ740" s="85" t="s">
        <v>144</v>
      </c>
      <c r="AV740" s="35">
        <f>AW740+AX740</f>
        <v>11914</v>
      </c>
      <c r="AW740" s="35">
        <f>H740*AO740</f>
        <v>11914</v>
      </c>
      <c r="AX740" s="35">
        <f>H740*AP740</f>
        <v>0</v>
      </c>
      <c r="AY740" s="86" t="s">
        <v>1046</v>
      </c>
      <c r="AZ740" s="86" t="s">
        <v>1073</v>
      </c>
      <c r="BA740" s="83" t="s">
        <v>1080</v>
      </c>
      <c r="BC740" s="35">
        <f>AW740+AX740</f>
        <v>11914</v>
      </c>
      <c r="BD740" s="35">
        <f>I740/(100-BE740)*100</f>
        <v>851</v>
      </c>
      <c r="BE740" s="35">
        <v>0</v>
      </c>
      <c r="BF740" s="35">
        <f>740</f>
        <v>740</v>
      </c>
      <c r="BH740" s="65">
        <f>H740*AO740</f>
        <v>11914</v>
      </c>
      <c r="BI740" s="65">
        <f>H740*AP740</f>
        <v>0</v>
      </c>
      <c r="BJ740" s="65">
        <f>H740*I740</f>
        <v>11914</v>
      </c>
      <c r="BK740" s="65" t="s">
        <v>1001</v>
      </c>
      <c r="BL740" s="35">
        <v>751</v>
      </c>
    </row>
    <row r="741" spans="1:64" x14ac:dyDescent="0.2">
      <c r="A741" s="19"/>
      <c r="C741" s="59" t="s">
        <v>521</v>
      </c>
      <c r="D741" s="180" t="s">
        <v>955</v>
      </c>
      <c r="E741" s="181"/>
      <c r="F741" s="181"/>
      <c r="G741" s="181"/>
      <c r="H741" s="181"/>
      <c r="I741" s="182"/>
      <c r="J741" s="181"/>
      <c r="K741" s="181"/>
      <c r="L741" s="181"/>
      <c r="M741" s="183"/>
      <c r="N741" s="19"/>
    </row>
    <row r="742" spans="1:64" x14ac:dyDescent="0.2">
      <c r="A742" s="47" t="s">
        <v>484</v>
      </c>
      <c r="B742" s="55" t="s">
        <v>66</v>
      </c>
      <c r="C742" s="55" t="s">
        <v>622</v>
      </c>
      <c r="D742" s="178" t="s">
        <v>956</v>
      </c>
      <c r="E742" s="179"/>
      <c r="F742" s="179"/>
      <c r="G742" s="55" t="s">
        <v>1003</v>
      </c>
      <c r="H742" s="64">
        <v>14</v>
      </c>
      <c r="I742" s="71">
        <v>135</v>
      </c>
      <c r="J742" s="64">
        <f>H742*AO742</f>
        <v>0</v>
      </c>
      <c r="K742" s="64">
        <f>H742*AP742</f>
        <v>1890</v>
      </c>
      <c r="L742" s="64">
        <f>H742*I742</f>
        <v>1890</v>
      </c>
      <c r="M742" s="79" t="s">
        <v>1020</v>
      </c>
      <c r="N742" s="19"/>
      <c r="Z742" s="35">
        <f>IF(AQ742="5",BJ742,0)</f>
        <v>0</v>
      </c>
      <c r="AB742" s="35">
        <f>IF(AQ742="1",BH742,0)</f>
        <v>0</v>
      </c>
      <c r="AC742" s="35">
        <f>IF(AQ742="1",BI742,0)</f>
        <v>0</v>
      </c>
      <c r="AD742" s="35">
        <f>IF(AQ742="7",BH742,0)</f>
        <v>0</v>
      </c>
      <c r="AE742" s="35">
        <f>IF(AQ742="7",BI742,0)</f>
        <v>1890</v>
      </c>
      <c r="AF742" s="35">
        <f>IF(AQ742="2",BH742,0)</f>
        <v>0</v>
      </c>
      <c r="AG742" s="35">
        <f>IF(AQ742="2",BI742,0)</f>
        <v>0</v>
      </c>
      <c r="AH742" s="35">
        <f>IF(AQ742="0",BJ742,0)</f>
        <v>0</v>
      </c>
      <c r="AI742" s="83" t="s">
        <v>66</v>
      </c>
      <c r="AJ742" s="64">
        <f>IF(AN742=0,L742,0)</f>
        <v>0</v>
      </c>
      <c r="AK742" s="64">
        <f>IF(AN742=15,L742,0)</f>
        <v>0</v>
      </c>
      <c r="AL742" s="64">
        <f>IF(AN742=21,L742,0)</f>
        <v>1890</v>
      </c>
      <c r="AN742" s="35">
        <v>21</v>
      </c>
      <c r="AO742" s="35">
        <f>I742*0</f>
        <v>0</v>
      </c>
      <c r="AP742" s="35">
        <f>I742*(1-0)</f>
        <v>135</v>
      </c>
      <c r="AQ742" s="84" t="s">
        <v>144</v>
      </c>
      <c r="AV742" s="35">
        <f>AW742+AX742</f>
        <v>1890</v>
      </c>
      <c r="AW742" s="35">
        <f>H742*AO742</f>
        <v>0</v>
      </c>
      <c r="AX742" s="35">
        <f>H742*AP742</f>
        <v>1890</v>
      </c>
      <c r="AY742" s="86" t="s">
        <v>1046</v>
      </c>
      <c r="AZ742" s="86" t="s">
        <v>1073</v>
      </c>
      <c r="BA742" s="83" t="s">
        <v>1080</v>
      </c>
      <c r="BC742" s="35">
        <f>AW742+AX742</f>
        <v>1890</v>
      </c>
      <c r="BD742" s="35">
        <f>I742/(100-BE742)*100</f>
        <v>135</v>
      </c>
      <c r="BE742" s="35">
        <v>0</v>
      </c>
      <c r="BF742" s="35">
        <f>742</f>
        <v>742</v>
      </c>
      <c r="BH742" s="64">
        <f>H742*AO742</f>
        <v>0</v>
      </c>
      <c r="BI742" s="64">
        <f>H742*AP742</f>
        <v>1890</v>
      </c>
      <c r="BJ742" s="64">
        <f>H742*I742</f>
        <v>1890</v>
      </c>
      <c r="BK742" s="64" t="s">
        <v>1086</v>
      </c>
      <c r="BL742" s="35">
        <v>751</v>
      </c>
    </row>
    <row r="743" spans="1:64" x14ac:dyDescent="0.2">
      <c r="A743" s="19"/>
      <c r="C743" s="59" t="s">
        <v>521</v>
      </c>
      <c r="D743" s="180" t="s">
        <v>956</v>
      </c>
      <c r="E743" s="181"/>
      <c r="F743" s="181"/>
      <c r="G743" s="181"/>
      <c r="H743" s="181"/>
      <c r="I743" s="182"/>
      <c r="J743" s="181"/>
      <c r="K743" s="181"/>
      <c r="L743" s="181"/>
      <c r="M743" s="183"/>
      <c r="N743" s="19"/>
    </row>
    <row r="744" spans="1:64" x14ac:dyDescent="0.2">
      <c r="A744" s="49" t="s">
        <v>485</v>
      </c>
      <c r="B744" s="57" t="s">
        <v>66</v>
      </c>
      <c r="C744" s="57" t="s">
        <v>809</v>
      </c>
      <c r="D744" s="186" t="s">
        <v>957</v>
      </c>
      <c r="E744" s="187"/>
      <c r="F744" s="187"/>
      <c r="G744" s="57" t="s">
        <v>1004</v>
      </c>
      <c r="H744" s="65">
        <v>14</v>
      </c>
      <c r="I744" s="73">
        <v>287</v>
      </c>
      <c r="J744" s="65">
        <f>H744*AO744</f>
        <v>4018</v>
      </c>
      <c r="K744" s="65">
        <f>H744*AP744</f>
        <v>0</v>
      </c>
      <c r="L744" s="65">
        <f>H744*I744</f>
        <v>4018</v>
      </c>
      <c r="M744" s="81"/>
      <c r="N744" s="19"/>
      <c r="Z744" s="35">
        <f>IF(AQ744="5",BJ744,0)</f>
        <v>0</v>
      </c>
      <c r="AB744" s="35">
        <f>IF(AQ744="1",BH744,0)</f>
        <v>0</v>
      </c>
      <c r="AC744" s="35">
        <f>IF(AQ744="1",BI744,0)</f>
        <v>0</v>
      </c>
      <c r="AD744" s="35">
        <f>IF(AQ744="7",BH744,0)</f>
        <v>4018</v>
      </c>
      <c r="AE744" s="35">
        <f>IF(AQ744="7",BI744,0)</f>
        <v>0</v>
      </c>
      <c r="AF744" s="35">
        <f>IF(AQ744="2",BH744,0)</f>
        <v>0</v>
      </c>
      <c r="AG744" s="35">
        <f>IF(AQ744="2",BI744,0)</f>
        <v>0</v>
      </c>
      <c r="AH744" s="35">
        <f>IF(AQ744="0",BJ744,0)</f>
        <v>0</v>
      </c>
      <c r="AI744" s="83" t="s">
        <v>66</v>
      </c>
      <c r="AJ744" s="65">
        <f>IF(AN744=0,L744,0)</f>
        <v>0</v>
      </c>
      <c r="AK744" s="65">
        <f>IF(AN744=15,L744,0)</f>
        <v>0</v>
      </c>
      <c r="AL744" s="65">
        <f>IF(AN744=21,L744,0)</f>
        <v>4018</v>
      </c>
      <c r="AN744" s="35">
        <v>21</v>
      </c>
      <c r="AO744" s="35">
        <f>I744*1</f>
        <v>287</v>
      </c>
      <c r="AP744" s="35">
        <f>I744*(1-1)</f>
        <v>0</v>
      </c>
      <c r="AQ744" s="85" t="s">
        <v>144</v>
      </c>
      <c r="AV744" s="35">
        <f>AW744+AX744</f>
        <v>4018</v>
      </c>
      <c r="AW744" s="35">
        <f>H744*AO744</f>
        <v>4018</v>
      </c>
      <c r="AX744" s="35">
        <f>H744*AP744</f>
        <v>0</v>
      </c>
      <c r="AY744" s="86" t="s">
        <v>1046</v>
      </c>
      <c r="AZ744" s="86" t="s">
        <v>1073</v>
      </c>
      <c r="BA744" s="83" t="s">
        <v>1080</v>
      </c>
      <c r="BC744" s="35">
        <f>AW744+AX744</f>
        <v>4018</v>
      </c>
      <c r="BD744" s="35">
        <f>I744/(100-BE744)*100</f>
        <v>287</v>
      </c>
      <c r="BE744" s="35">
        <v>0</v>
      </c>
      <c r="BF744" s="35">
        <f>744</f>
        <v>744</v>
      </c>
      <c r="BH744" s="65">
        <f>H744*AO744</f>
        <v>4018</v>
      </c>
      <c r="BI744" s="65">
        <f>H744*AP744</f>
        <v>0</v>
      </c>
      <c r="BJ744" s="65">
        <f>H744*I744</f>
        <v>4018</v>
      </c>
      <c r="BK744" s="65" t="s">
        <v>1001</v>
      </c>
      <c r="BL744" s="35">
        <v>751</v>
      </c>
    </row>
    <row r="745" spans="1:64" x14ac:dyDescent="0.2">
      <c r="A745" s="19"/>
      <c r="C745" s="59" t="s">
        <v>521</v>
      </c>
      <c r="D745" s="180" t="s">
        <v>957</v>
      </c>
      <c r="E745" s="181"/>
      <c r="F745" s="181"/>
      <c r="G745" s="181"/>
      <c r="H745" s="181"/>
      <c r="I745" s="182"/>
      <c r="J745" s="181"/>
      <c r="K745" s="181"/>
      <c r="L745" s="181"/>
      <c r="M745" s="183"/>
      <c r="N745" s="19"/>
    </row>
    <row r="746" spans="1:64" x14ac:dyDescent="0.2">
      <c r="A746" s="47" t="s">
        <v>486</v>
      </c>
      <c r="B746" s="55" t="s">
        <v>66</v>
      </c>
      <c r="C746" s="55" t="s">
        <v>624</v>
      </c>
      <c r="D746" s="178" t="s">
        <v>958</v>
      </c>
      <c r="E746" s="179"/>
      <c r="F746" s="179"/>
      <c r="G746" s="55" t="s">
        <v>1000</v>
      </c>
      <c r="H746" s="64">
        <v>3584.0039999999999</v>
      </c>
      <c r="I746" s="71">
        <v>0.5</v>
      </c>
      <c r="J746" s="64">
        <f>H746*AO746</f>
        <v>0</v>
      </c>
      <c r="K746" s="64">
        <f>H746*AP746</f>
        <v>1792.002</v>
      </c>
      <c r="L746" s="64">
        <f>H746*I746</f>
        <v>1792.002</v>
      </c>
      <c r="M746" s="79" t="s">
        <v>1021</v>
      </c>
      <c r="N746" s="19"/>
      <c r="Z746" s="35">
        <f>IF(AQ746="5",BJ746,0)</f>
        <v>0</v>
      </c>
      <c r="AB746" s="35">
        <f>IF(AQ746="1",BH746,0)</f>
        <v>0</v>
      </c>
      <c r="AC746" s="35">
        <f>IF(AQ746="1",BI746,0)</f>
        <v>0</v>
      </c>
      <c r="AD746" s="35">
        <f>IF(AQ746="7",BH746,0)</f>
        <v>0</v>
      </c>
      <c r="AE746" s="35">
        <f>IF(AQ746="7",BI746,0)</f>
        <v>1792.002</v>
      </c>
      <c r="AF746" s="35">
        <f>IF(AQ746="2",BH746,0)</f>
        <v>0</v>
      </c>
      <c r="AG746" s="35">
        <f>IF(AQ746="2",BI746,0)</f>
        <v>0</v>
      </c>
      <c r="AH746" s="35">
        <f>IF(AQ746="0",BJ746,0)</f>
        <v>0</v>
      </c>
      <c r="AI746" s="83" t="s">
        <v>66</v>
      </c>
      <c r="AJ746" s="64">
        <f>IF(AN746=0,L746,0)</f>
        <v>0</v>
      </c>
      <c r="AK746" s="64">
        <f>IF(AN746=15,L746,0)</f>
        <v>0</v>
      </c>
      <c r="AL746" s="64">
        <f>IF(AN746=21,L746,0)</f>
        <v>1792.002</v>
      </c>
      <c r="AN746" s="35">
        <v>21</v>
      </c>
      <c r="AO746" s="35">
        <f>I746*0</f>
        <v>0</v>
      </c>
      <c r="AP746" s="35">
        <f>I746*(1-0)</f>
        <v>0.5</v>
      </c>
      <c r="AQ746" s="84" t="s">
        <v>144</v>
      </c>
      <c r="AV746" s="35">
        <f>AW746+AX746</f>
        <v>1792.002</v>
      </c>
      <c r="AW746" s="35">
        <f>H746*AO746</f>
        <v>0</v>
      </c>
      <c r="AX746" s="35">
        <f>H746*AP746</f>
        <v>1792.002</v>
      </c>
      <c r="AY746" s="86" t="s">
        <v>1046</v>
      </c>
      <c r="AZ746" s="86" t="s">
        <v>1073</v>
      </c>
      <c r="BA746" s="83" t="s">
        <v>1080</v>
      </c>
      <c r="BC746" s="35">
        <f>AW746+AX746</f>
        <v>1792.002</v>
      </c>
      <c r="BD746" s="35">
        <f>I746/(100-BE746)*100</f>
        <v>0.5</v>
      </c>
      <c r="BE746" s="35">
        <v>0</v>
      </c>
      <c r="BF746" s="35">
        <f>746</f>
        <v>746</v>
      </c>
      <c r="BH746" s="64">
        <f>H746*AO746</f>
        <v>0</v>
      </c>
      <c r="BI746" s="64">
        <f>H746*AP746</f>
        <v>1792.002</v>
      </c>
      <c r="BJ746" s="64">
        <f>H746*I746</f>
        <v>1792.002</v>
      </c>
      <c r="BK746" s="64" t="s">
        <v>1086</v>
      </c>
      <c r="BL746" s="35">
        <v>751</v>
      </c>
    </row>
    <row r="747" spans="1:64" x14ac:dyDescent="0.2">
      <c r="A747" s="19"/>
      <c r="C747" s="59" t="s">
        <v>521</v>
      </c>
      <c r="D747" s="180" t="s">
        <v>959</v>
      </c>
      <c r="E747" s="181"/>
      <c r="F747" s="181"/>
      <c r="G747" s="181"/>
      <c r="H747" s="181"/>
      <c r="I747" s="182"/>
      <c r="J747" s="181"/>
      <c r="K747" s="181"/>
      <c r="L747" s="181"/>
      <c r="M747" s="183"/>
      <c r="N747" s="19"/>
    </row>
    <row r="748" spans="1:64" x14ac:dyDescent="0.2">
      <c r="A748" s="46"/>
      <c r="B748" s="54" t="s">
        <v>66</v>
      </c>
      <c r="C748" s="54" t="s">
        <v>118</v>
      </c>
      <c r="D748" s="176" t="s">
        <v>43</v>
      </c>
      <c r="E748" s="177"/>
      <c r="F748" s="177"/>
      <c r="G748" s="61" t="s">
        <v>60</v>
      </c>
      <c r="H748" s="61" t="s">
        <v>60</v>
      </c>
      <c r="I748" s="70" t="s">
        <v>60</v>
      </c>
      <c r="J748" s="89">
        <f>SUM(J749:J761)</f>
        <v>0</v>
      </c>
      <c r="K748" s="89">
        <f>SUM(K749:K761)</f>
        <v>26250</v>
      </c>
      <c r="L748" s="89">
        <f>SUM(L749:L761)</f>
        <v>26250</v>
      </c>
      <c r="M748" s="78"/>
      <c r="N748" s="19"/>
      <c r="AI748" s="83" t="s">
        <v>66</v>
      </c>
      <c r="AS748" s="89">
        <f>SUM(AJ749:AJ761)</f>
        <v>0</v>
      </c>
      <c r="AT748" s="89">
        <f>SUM(AK749:AK761)</f>
        <v>0</v>
      </c>
      <c r="AU748" s="89">
        <f>SUM(AL749:AL761)</f>
        <v>26250</v>
      </c>
    </row>
    <row r="749" spans="1:64" x14ac:dyDescent="0.2">
      <c r="A749" s="47" t="s">
        <v>487</v>
      </c>
      <c r="B749" s="55" t="s">
        <v>66</v>
      </c>
      <c r="C749" s="55" t="s">
        <v>810</v>
      </c>
      <c r="D749" s="178" t="s">
        <v>960</v>
      </c>
      <c r="E749" s="179"/>
      <c r="F749" s="179"/>
      <c r="G749" s="55" t="s">
        <v>1002</v>
      </c>
      <c r="H749" s="64">
        <v>1</v>
      </c>
      <c r="I749" s="71">
        <v>2000</v>
      </c>
      <c r="J749" s="64">
        <f>H749*AO749</f>
        <v>0</v>
      </c>
      <c r="K749" s="64">
        <f>H749*AP749</f>
        <v>2000</v>
      </c>
      <c r="L749" s="64">
        <f>H749*I749</f>
        <v>2000</v>
      </c>
      <c r="M749" s="79"/>
      <c r="N749" s="19"/>
      <c r="Z749" s="35">
        <f>IF(AQ749="5",BJ749,0)</f>
        <v>0</v>
      </c>
      <c r="AB749" s="35">
        <f>IF(AQ749="1",BH749,0)</f>
        <v>0</v>
      </c>
      <c r="AC749" s="35">
        <f>IF(AQ749="1",BI749,0)</f>
        <v>2000</v>
      </c>
      <c r="AD749" s="35">
        <f>IF(AQ749="7",BH749,0)</f>
        <v>0</v>
      </c>
      <c r="AE749" s="35">
        <f>IF(AQ749="7",BI749,0)</f>
        <v>0</v>
      </c>
      <c r="AF749" s="35">
        <f>IF(AQ749="2",BH749,0)</f>
        <v>0</v>
      </c>
      <c r="AG749" s="35">
        <f>IF(AQ749="2",BI749,0)</f>
        <v>0</v>
      </c>
      <c r="AH749" s="35">
        <f>IF(AQ749="0",BJ749,0)</f>
        <v>0</v>
      </c>
      <c r="AI749" s="83" t="s">
        <v>66</v>
      </c>
      <c r="AJ749" s="64">
        <f>IF(AN749=0,L749,0)</f>
        <v>0</v>
      </c>
      <c r="AK749" s="64">
        <f>IF(AN749=15,L749,0)</f>
        <v>0</v>
      </c>
      <c r="AL749" s="64">
        <f>IF(AN749=21,L749,0)</f>
        <v>2000</v>
      </c>
      <c r="AN749" s="35">
        <v>21</v>
      </c>
      <c r="AO749" s="35">
        <f>I749*0</f>
        <v>0</v>
      </c>
      <c r="AP749" s="35">
        <f>I749*(1-0)</f>
        <v>2000</v>
      </c>
      <c r="AQ749" s="84" t="s">
        <v>141</v>
      </c>
      <c r="AV749" s="35">
        <f>AW749+AX749</f>
        <v>2000</v>
      </c>
      <c r="AW749" s="35">
        <f>H749*AO749</f>
        <v>0</v>
      </c>
      <c r="AX749" s="35">
        <f>H749*AP749</f>
        <v>2000</v>
      </c>
      <c r="AY749" s="86" t="s">
        <v>1047</v>
      </c>
      <c r="AZ749" s="86" t="s">
        <v>1074</v>
      </c>
      <c r="BA749" s="83" t="s">
        <v>1080</v>
      </c>
      <c r="BC749" s="35">
        <f>AW749+AX749</f>
        <v>2000</v>
      </c>
      <c r="BD749" s="35">
        <f>I749/(100-BE749)*100</f>
        <v>2000</v>
      </c>
      <c r="BE749" s="35">
        <v>0</v>
      </c>
      <c r="BF749" s="35">
        <f>749</f>
        <v>749</v>
      </c>
      <c r="BH749" s="64">
        <f>H749*AO749</f>
        <v>0</v>
      </c>
      <c r="BI749" s="64">
        <f>H749*AP749</f>
        <v>2000</v>
      </c>
      <c r="BJ749" s="64">
        <f>H749*I749</f>
        <v>2000</v>
      </c>
      <c r="BK749" s="64" t="s">
        <v>1086</v>
      </c>
      <c r="BL749" s="35" t="s">
        <v>118</v>
      </c>
    </row>
    <row r="750" spans="1:64" x14ac:dyDescent="0.2">
      <c r="A750" s="19"/>
      <c r="C750" s="59" t="s">
        <v>521</v>
      </c>
      <c r="D750" s="180" t="s">
        <v>961</v>
      </c>
      <c r="E750" s="181"/>
      <c r="F750" s="181"/>
      <c r="G750" s="181"/>
      <c r="H750" s="181"/>
      <c r="I750" s="182"/>
      <c r="J750" s="181"/>
      <c r="K750" s="181"/>
      <c r="L750" s="181"/>
      <c r="M750" s="183"/>
      <c r="N750" s="19"/>
    </row>
    <row r="751" spans="1:64" x14ac:dyDescent="0.2">
      <c r="A751" s="47" t="s">
        <v>488</v>
      </c>
      <c r="B751" s="55" t="s">
        <v>66</v>
      </c>
      <c r="C751" s="55" t="s">
        <v>811</v>
      </c>
      <c r="D751" s="178" t="s">
        <v>962</v>
      </c>
      <c r="E751" s="179"/>
      <c r="F751" s="179"/>
      <c r="G751" s="55" t="s">
        <v>1006</v>
      </c>
      <c r="H751" s="64">
        <v>1</v>
      </c>
      <c r="I751" s="71">
        <v>2800</v>
      </c>
      <c r="J751" s="64">
        <f>H751*AO751</f>
        <v>0</v>
      </c>
      <c r="K751" s="64">
        <f>H751*AP751</f>
        <v>2800</v>
      </c>
      <c r="L751" s="64">
        <f>H751*I751</f>
        <v>2800</v>
      </c>
      <c r="M751" s="79"/>
      <c r="N751" s="19"/>
      <c r="Z751" s="35">
        <f>IF(AQ751="5",BJ751,0)</f>
        <v>0</v>
      </c>
      <c r="AB751" s="35">
        <f>IF(AQ751="1",BH751,0)</f>
        <v>0</v>
      </c>
      <c r="AC751" s="35">
        <f>IF(AQ751="1",BI751,0)</f>
        <v>2800</v>
      </c>
      <c r="AD751" s="35">
        <f>IF(AQ751="7",BH751,0)</f>
        <v>0</v>
      </c>
      <c r="AE751" s="35">
        <f>IF(AQ751="7",BI751,0)</f>
        <v>0</v>
      </c>
      <c r="AF751" s="35">
        <f>IF(AQ751="2",BH751,0)</f>
        <v>0</v>
      </c>
      <c r="AG751" s="35">
        <f>IF(AQ751="2",BI751,0)</f>
        <v>0</v>
      </c>
      <c r="AH751" s="35">
        <f>IF(AQ751="0",BJ751,0)</f>
        <v>0</v>
      </c>
      <c r="AI751" s="83" t="s">
        <v>66</v>
      </c>
      <c r="AJ751" s="64">
        <f>IF(AN751=0,L751,0)</f>
        <v>0</v>
      </c>
      <c r="AK751" s="64">
        <f>IF(AN751=15,L751,0)</f>
        <v>0</v>
      </c>
      <c r="AL751" s="64">
        <f>IF(AN751=21,L751,0)</f>
        <v>2800</v>
      </c>
      <c r="AN751" s="35">
        <v>21</v>
      </c>
      <c r="AO751" s="35">
        <f>I751*0</f>
        <v>0</v>
      </c>
      <c r="AP751" s="35">
        <f>I751*(1-0)</f>
        <v>2800</v>
      </c>
      <c r="AQ751" s="84" t="s">
        <v>141</v>
      </c>
      <c r="AV751" s="35">
        <f>AW751+AX751</f>
        <v>2800</v>
      </c>
      <c r="AW751" s="35">
        <f>H751*AO751</f>
        <v>0</v>
      </c>
      <c r="AX751" s="35">
        <f>H751*AP751</f>
        <v>2800</v>
      </c>
      <c r="AY751" s="86" t="s">
        <v>1047</v>
      </c>
      <c r="AZ751" s="86" t="s">
        <v>1074</v>
      </c>
      <c r="BA751" s="83" t="s">
        <v>1080</v>
      </c>
      <c r="BC751" s="35">
        <f>AW751+AX751</f>
        <v>2800</v>
      </c>
      <c r="BD751" s="35">
        <f>I751/(100-BE751)*100</f>
        <v>2800</v>
      </c>
      <c r="BE751" s="35">
        <v>0</v>
      </c>
      <c r="BF751" s="35">
        <f>751</f>
        <v>751</v>
      </c>
      <c r="BH751" s="64">
        <f>H751*AO751</f>
        <v>0</v>
      </c>
      <c r="BI751" s="64">
        <f>H751*AP751</f>
        <v>2800</v>
      </c>
      <c r="BJ751" s="64">
        <f>H751*I751</f>
        <v>2800</v>
      </c>
      <c r="BK751" s="64" t="s">
        <v>1086</v>
      </c>
      <c r="BL751" s="35" t="s">
        <v>118</v>
      </c>
    </row>
    <row r="752" spans="1:64" x14ac:dyDescent="0.2">
      <c r="A752" s="19"/>
      <c r="C752" s="59" t="s">
        <v>521</v>
      </c>
      <c r="D752" s="180" t="s">
        <v>962</v>
      </c>
      <c r="E752" s="181"/>
      <c r="F752" s="181"/>
      <c r="G752" s="181"/>
      <c r="H752" s="181"/>
      <c r="I752" s="182"/>
      <c r="J752" s="181"/>
      <c r="K752" s="181"/>
      <c r="L752" s="181"/>
      <c r="M752" s="183"/>
      <c r="N752" s="19"/>
    </row>
    <row r="753" spans="1:64" x14ac:dyDescent="0.2">
      <c r="A753" s="47" t="s">
        <v>489</v>
      </c>
      <c r="B753" s="55" t="s">
        <v>66</v>
      </c>
      <c r="C753" s="55" t="s">
        <v>812</v>
      </c>
      <c r="D753" s="178" t="s">
        <v>962</v>
      </c>
      <c r="E753" s="179"/>
      <c r="F753" s="179"/>
      <c r="G753" s="55" t="s">
        <v>1006</v>
      </c>
      <c r="H753" s="64">
        <v>1</v>
      </c>
      <c r="I753" s="71">
        <v>2800</v>
      </c>
      <c r="J753" s="64">
        <f>H753*AO753</f>
        <v>0</v>
      </c>
      <c r="K753" s="64">
        <f>H753*AP753</f>
        <v>2800</v>
      </c>
      <c r="L753" s="64">
        <f>H753*I753</f>
        <v>2800</v>
      </c>
      <c r="M753" s="79"/>
      <c r="N753" s="19"/>
      <c r="Z753" s="35">
        <f>IF(AQ753="5",BJ753,0)</f>
        <v>0</v>
      </c>
      <c r="AB753" s="35">
        <f>IF(AQ753="1",BH753,0)</f>
        <v>0</v>
      </c>
      <c r="AC753" s="35">
        <f>IF(AQ753="1",BI753,0)</f>
        <v>2800</v>
      </c>
      <c r="AD753" s="35">
        <f>IF(AQ753="7",BH753,0)</f>
        <v>0</v>
      </c>
      <c r="AE753" s="35">
        <f>IF(AQ753="7",BI753,0)</f>
        <v>0</v>
      </c>
      <c r="AF753" s="35">
        <f>IF(AQ753="2",BH753,0)</f>
        <v>0</v>
      </c>
      <c r="AG753" s="35">
        <f>IF(AQ753="2",BI753,0)</f>
        <v>0</v>
      </c>
      <c r="AH753" s="35">
        <f>IF(AQ753="0",BJ753,0)</f>
        <v>0</v>
      </c>
      <c r="AI753" s="83" t="s">
        <v>66</v>
      </c>
      <c r="AJ753" s="64">
        <f>IF(AN753=0,L753,0)</f>
        <v>0</v>
      </c>
      <c r="AK753" s="64">
        <f>IF(AN753=15,L753,0)</f>
        <v>0</v>
      </c>
      <c r="AL753" s="64">
        <f>IF(AN753=21,L753,0)</f>
        <v>2800</v>
      </c>
      <c r="AN753" s="35">
        <v>21</v>
      </c>
      <c r="AO753" s="35">
        <f>I753*0</f>
        <v>0</v>
      </c>
      <c r="AP753" s="35">
        <f>I753*(1-0)</f>
        <v>2800</v>
      </c>
      <c r="AQ753" s="84" t="s">
        <v>141</v>
      </c>
      <c r="AV753" s="35">
        <f>AW753+AX753</f>
        <v>2800</v>
      </c>
      <c r="AW753" s="35">
        <f>H753*AO753</f>
        <v>0</v>
      </c>
      <c r="AX753" s="35">
        <f>H753*AP753</f>
        <v>2800</v>
      </c>
      <c r="AY753" s="86" t="s">
        <v>1047</v>
      </c>
      <c r="AZ753" s="86" t="s">
        <v>1074</v>
      </c>
      <c r="BA753" s="83" t="s">
        <v>1080</v>
      </c>
      <c r="BC753" s="35">
        <f>AW753+AX753</f>
        <v>2800</v>
      </c>
      <c r="BD753" s="35">
        <f>I753/(100-BE753)*100</f>
        <v>2800</v>
      </c>
      <c r="BE753" s="35">
        <v>0</v>
      </c>
      <c r="BF753" s="35">
        <f>753</f>
        <v>753</v>
      </c>
      <c r="BH753" s="64">
        <f>H753*AO753</f>
        <v>0</v>
      </c>
      <c r="BI753" s="64">
        <f>H753*AP753</f>
        <v>2800</v>
      </c>
      <c r="BJ753" s="64">
        <f>H753*I753</f>
        <v>2800</v>
      </c>
      <c r="BK753" s="64" t="s">
        <v>1086</v>
      </c>
      <c r="BL753" s="35" t="s">
        <v>118</v>
      </c>
    </row>
    <row r="754" spans="1:64" x14ac:dyDescent="0.2">
      <c r="A754" s="19"/>
      <c r="C754" s="59" t="s">
        <v>521</v>
      </c>
      <c r="D754" s="180" t="s">
        <v>962</v>
      </c>
      <c r="E754" s="181"/>
      <c r="F754" s="181"/>
      <c r="G754" s="181"/>
      <c r="H754" s="181"/>
      <c r="I754" s="182"/>
      <c r="J754" s="181"/>
      <c r="K754" s="181"/>
      <c r="L754" s="181"/>
      <c r="M754" s="183"/>
      <c r="N754" s="19"/>
    </row>
    <row r="755" spans="1:64" x14ac:dyDescent="0.2">
      <c r="A755" s="47" t="s">
        <v>490</v>
      </c>
      <c r="B755" s="55" t="s">
        <v>66</v>
      </c>
      <c r="C755" s="55" t="s">
        <v>813</v>
      </c>
      <c r="D755" s="178" t="s">
        <v>963</v>
      </c>
      <c r="E755" s="179"/>
      <c r="F755" s="179"/>
      <c r="G755" s="55" t="s">
        <v>1006</v>
      </c>
      <c r="H755" s="64">
        <v>1</v>
      </c>
      <c r="I755" s="71">
        <v>2800</v>
      </c>
      <c r="J755" s="64">
        <f>H755*AO755</f>
        <v>0</v>
      </c>
      <c r="K755" s="64">
        <f>H755*AP755</f>
        <v>2800</v>
      </c>
      <c r="L755" s="64">
        <f>H755*I755</f>
        <v>2800</v>
      </c>
      <c r="M755" s="79"/>
      <c r="N755" s="19"/>
      <c r="Z755" s="35">
        <f>IF(AQ755="5",BJ755,0)</f>
        <v>0</v>
      </c>
      <c r="AB755" s="35">
        <f>IF(AQ755="1",BH755,0)</f>
        <v>0</v>
      </c>
      <c r="AC755" s="35">
        <f>IF(AQ755="1",BI755,0)</f>
        <v>2800</v>
      </c>
      <c r="AD755" s="35">
        <f>IF(AQ755="7",BH755,0)</f>
        <v>0</v>
      </c>
      <c r="AE755" s="35">
        <f>IF(AQ755="7",BI755,0)</f>
        <v>0</v>
      </c>
      <c r="AF755" s="35">
        <f>IF(AQ755="2",BH755,0)</f>
        <v>0</v>
      </c>
      <c r="AG755" s="35">
        <f>IF(AQ755="2",BI755,0)</f>
        <v>0</v>
      </c>
      <c r="AH755" s="35">
        <f>IF(AQ755="0",BJ755,0)</f>
        <v>0</v>
      </c>
      <c r="AI755" s="83" t="s">
        <v>66</v>
      </c>
      <c r="AJ755" s="64">
        <f>IF(AN755=0,L755,0)</f>
        <v>0</v>
      </c>
      <c r="AK755" s="64">
        <f>IF(AN755=15,L755,0)</f>
        <v>0</v>
      </c>
      <c r="AL755" s="64">
        <f>IF(AN755=21,L755,0)</f>
        <v>2800</v>
      </c>
      <c r="AN755" s="35">
        <v>21</v>
      </c>
      <c r="AO755" s="35">
        <f>I755*0</f>
        <v>0</v>
      </c>
      <c r="AP755" s="35">
        <f>I755*(1-0)</f>
        <v>2800</v>
      </c>
      <c r="AQ755" s="84" t="s">
        <v>141</v>
      </c>
      <c r="AV755" s="35">
        <f>AW755+AX755</f>
        <v>2800</v>
      </c>
      <c r="AW755" s="35">
        <f>H755*AO755</f>
        <v>0</v>
      </c>
      <c r="AX755" s="35">
        <f>H755*AP755</f>
        <v>2800</v>
      </c>
      <c r="AY755" s="86" t="s">
        <v>1047</v>
      </c>
      <c r="AZ755" s="86" t="s">
        <v>1074</v>
      </c>
      <c r="BA755" s="83" t="s">
        <v>1080</v>
      </c>
      <c r="BC755" s="35">
        <f>AW755+AX755</f>
        <v>2800</v>
      </c>
      <c r="BD755" s="35">
        <f>I755/(100-BE755)*100</f>
        <v>2800</v>
      </c>
      <c r="BE755" s="35">
        <v>0</v>
      </c>
      <c r="BF755" s="35">
        <f>755</f>
        <v>755</v>
      </c>
      <c r="BH755" s="64">
        <f>H755*AO755</f>
        <v>0</v>
      </c>
      <c r="BI755" s="64">
        <f>H755*AP755</f>
        <v>2800</v>
      </c>
      <c r="BJ755" s="64">
        <f>H755*I755</f>
        <v>2800</v>
      </c>
      <c r="BK755" s="64" t="s">
        <v>1086</v>
      </c>
      <c r="BL755" s="35" t="s">
        <v>118</v>
      </c>
    </row>
    <row r="756" spans="1:64" x14ac:dyDescent="0.2">
      <c r="A756" s="19"/>
      <c r="C756" s="59" t="s">
        <v>521</v>
      </c>
      <c r="D756" s="180" t="s">
        <v>963</v>
      </c>
      <c r="E756" s="181"/>
      <c r="F756" s="181"/>
      <c r="G756" s="181"/>
      <c r="H756" s="181"/>
      <c r="I756" s="182"/>
      <c r="J756" s="181"/>
      <c r="K756" s="181"/>
      <c r="L756" s="181"/>
      <c r="M756" s="183"/>
      <c r="N756" s="19"/>
    </row>
    <row r="757" spans="1:64" x14ac:dyDescent="0.2">
      <c r="A757" s="47" t="s">
        <v>491</v>
      </c>
      <c r="B757" s="55" t="s">
        <v>66</v>
      </c>
      <c r="C757" s="55" t="s">
        <v>629</v>
      </c>
      <c r="D757" s="178" t="s">
        <v>964</v>
      </c>
      <c r="E757" s="179"/>
      <c r="F757" s="179"/>
      <c r="G757" s="55" t="s">
        <v>1002</v>
      </c>
      <c r="H757" s="64">
        <v>1</v>
      </c>
      <c r="I757" s="71">
        <v>2450</v>
      </c>
      <c r="J757" s="64">
        <f>H757*AO757</f>
        <v>0</v>
      </c>
      <c r="K757" s="64">
        <f>H757*AP757</f>
        <v>2450</v>
      </c>
      <c r="L757" s="64">
        <f>H757*I757</f>
        <v>2450</v>
      </c>
      <c r="M757" s="79"/>
      <c r="N757" s="19"/>
      <c r="Z757" s="35">
        <f>IF(AQ757="5",BJ757,0)</f>
        <v>0</v>
      </c>
      <c r="AB757" s="35">
        <f>IF(AQ757="1",BH757,0)</f>
        <v>0</v>
      </c>
      <c r="AC757" s="35">
        <f>IF(AQ757="1",BI757,0)</f>
        <v>2450</v>
      </c>
      <c r="AD757" s="35">
        <f>IF(AQ757="7",BH757,0)</f>
        <v>0</v>
      </c>
      <c r="AE757" s="35">
        <f>IF(AQ757="7",BI757,0)</f>
        <v>0</v>
      </c>
      <c r="AF757" s="35">
        <f>IF(AQ757="2",BH757,0)</f>
        <v>0</v>
      </c>
      <c r="AG757" s="35">
        <f>IF(AQ757="2",BI757,0)</f>
        <v>0</v>
      </c>
      <c r="AH757" s="35">
        <f>IF(AQ757="0",BJ757,0)</f>
        <v>0</v>
      </c>
      <c r="AI757" s="83" t="s">
        <v>66</v>
      </c>
      <c r="AJ757" s="64">
        <f>IF(AN757=0,L757,0)</f>
        <v>0</v>
      </c>
      <c r="AK757" s="64">
        <f>IF(AN757=15,L757,0)</f>
        <v>0</v>
      </c>
      <c r="AL757" s="64">
        <f>IF(AN757=21,L757,0)</f>
        <v>2450</v>
      </c>
      <c r="AN757" s="35">
        <v>21</v>
      </c>
      <c r="AO757" s="35">
        <f>I757*0</f>
        <v>0</v>
      </c>
      <c r="AP757" s="35">
        <f>I757*(1-0)</f>
        <v>2450</v>
      </c>
      <c r="AQ757" s="84" t="s">
        <v>141</v>
      </c>
      <c r="AV757" s="35">
        <f>AW757+AX757</f>
        <v>2450</v>
      </c>
      <c r="AW757" s="35">
        <f>H757*AO757</f>
        <v>0</v>
      </c>
      <c r="AX757" s="35">
        <f>H757*AP757</f>
        <v>2450</v>
      </c>
      <c r="AY757" s="86" t="s">
        <v>1047</v>
      </c>
      <c r="AZ757" s="86" t="s">
        <v>1074</v>
      </c>
      <c r="BA757" s="83" t="s">
        <v>1080</v>
      </c>
      <c r="BC757" s="35">
        <f>AW757+AX757</f>
        <v>2450</v>
      </c>
      <c r="BD757" s="35">
        <f>I757/(100-BE757)*100</f>
        <v>2450</v>
      </c>
      <c r="BE757" s="35">
        <v>0</v>
      </c>
      <c r="BF757" s="35">
        <f>757</f>
        <v>757</v>
      </c>
      <c r="BH757" s="64">
        <f>H757*AO757</f>
        <v>0</v>
      </c>
      <c r="BI757" s="64">
        <f>H757*AP757</f>
        <v>2450</v>
      </c>
      <c r="BJ757" s="64">
        <f>H757*I757</f>
        <v>2450</v>
      </c>
      <c r="BK757" s="64" t="s">
        <v>1086</v>
      </c>
      <c r="BL757" s="35" t="s">
        <v>118</v>
      </c>
    </row>
    <row r="758" spans="1:64" x14ac:dyDescent="0.2">
      <c r="A758" s="19"/>
      <c r="C758" s="59" t="s">
        <v>521</v>
      </c>
      <c r="D758" s="180" t="s">
        <v>964</v>
      </c>
      <c r="E758" s="181"/>
      <c r="F758" s="181"/>
      <c r="G758" s="181"/>
      <c r="H758" s="181"/>
      <c r="I758" s="182"/>
      <c r="J758" s="181"/>
      <c r="K758" s="181"/>
      <c r="L758" s="181"/>
      <c r="M758" s="183"/>
      <c r="N758" s="19"/>
    </row>
    <row r="759" spans="1:64" x14ac:dyDescent="0.2">
      <c r="A759" s="47" t="s">
        <v>492</v>
      </c>
      <c r="B759" s="55" t="s">
        <v>66</v>
      </c>
      <c r="C759" s="55" t="s">
        <v>630</v>
      </c>
      <c r="D759" s="178" t="s">
        <v>965</v>
      </c>
      <c r="E759" s="179"/>
      <c r="F759" s="179"/>
      <c r="G759" s="55" t="s">
        <v>1002</v>
      </c>
      <c r="H759" s="64">
        <v>1</v>
      </c>
      <c r="I759" s="71">
        <v>5500</v>
      </c>
      <c r="J759" s="64">
        <f>H759*AO759</f>
        <v>0</v>
      </c>
      <c r="K759" s="64">
        <f>H759*AP759</f>
        <v>5500</v>
      </c>
      <c r="L759" s="64">
        <f>H759*I759</f>
        <v>5500</v>
      </c>
      <c r="M759" s="79"/>
      <c r="N759" s="19"/>
      <c r="Z759" s="35">
        <f>IF(AQ759="5",BJ759,0)</f>
        <v>0</v>
      </c>
      <c r="AB759" s="35">
        <f>IF(AQ759="1",BH759,0)</f>
        <v>0</v>
      </c>
      <c r="AC759" s="35">
        <f>IF(AQ759="1",BI759,0)</f>
        <v>5500</v>
      </c>
      <c r="AD759" s="35">
        <f>IF(AQ759="7",BH759,0)</f>
        <v>0</v>
      </c>
      <c r="AE759" s="35">
        <f>IF(AQ759="7",BI759,0)</f>
        <v>0</v>
      </c>
      <c r="AF759" s="35">
        <f>IF(AQ759="2",BH759,0)</f>
        <v>0</v>
      </c>
      <c r="AG759" s="35">
        <f>IF(AQ759="2",BI759,0)</f>
        <v>0</v>
      </c>
      <c r="AH759" s="35">
        <f>IF(AQ759="0",BJ759,0)</f>
        <v>0</v>
      </c>
      <c r="AI759" s="83" t="s">
        <v>66</v>
      </c>
      <c r="AJ759" s="64">
        <f>IF(AN759=0,L759,0)</f>
        <v>0</v>
      </c>
      <c r="AK759" s="64">
        <f>IF(AN759=15,L759,0)</f>
        <v>0</v>
      </c>
      <c r="AL759" s="64">
        <f>IF(AN759=21,L759,0)</f>
        <v>5500</v>
      </c>
      <c r="AN759" s="35">
        <v>21</v>
      </c>
      <c r="AO759" s="35">
        <f>I759*0</f>
        <v>0</v>
      </c>
      <c r="AP759" s="35">
        <f>I759*(1-0)</f>
        <v>5500</v>
      </c>
      <c r="AQ759" s="84" t="s">
        <v>141</v>
      </c>
      <c r="AV759" s="35">
        <f>AW759+AX759</f>
        <v>5500</v>
      </c>
      <c r="AW759" s="35">
        <f>H759*AO759</f>
        <v>0</v>
      </c>
      <c r="AX759" s="35">
        <f>H759*AP759</f>
        <v>5500</v>
      </c>
      <c r="AY759" s="86" t="s">
        <v>1047</v>
      </c>
      <c r="AZ759" s="86" t="s">
        <v>1074</v>
      </c>
      <c r="BA759" s="83" t="s">
        <v>1080</v>
      </c>
      <c r="BC759" s="35">
        <f>AW759+AX759</f>
        <v>5500</v>
      </c>
      <c r="BD759" s="35">
        <f>I759/(100-BE759)*100</f>
        <v>5500</v>
      </c>
      <c r="BE759" s="35">
        <v>0</v>
      </c>
      <c r="BF759" s="35">
        <f>759</f>
        <v>759</v>
      </c>
      <c r="BH759" s="64">
        <f>H759*AO759</f>
        <v>0</v>
      </c>
      <c r="BI759" s="64">
        <f>H759*AP759</f>
        <v>5500</v>
      </c>
      <c r="BJ759" s="64">
        <f>H759*I759</f>
        <v>5500</v>
      </c>
      <c r="BK759" s="64" t="s">
        <v>1086</v>
      </c>
      <c r="BL759" s="35" t="s">
        <v>118</v>
      </c>
    </row>
    <row r="760" spans="1:64" x14ac:dyDescent="0.2">
      <c r="A760" s="19"/>
      <c r="C760" s="59" t="s">
        <v>521</v>
      </c>
      <c r="D760" s="180" t="s">
        <v>966</v>
      </c>
      <c r="E760" s="181"/>
      <c r="F760" s="181"/>
      <c r="G760" s="181"/>
      <c r="H760" s="181"/>
      <c r="I760" s="182"/>
      <c r="J760" s="181"/>
      <c r="K760" s="181"/>
      <c r="L760" s="181"/>
      <c r="M760" s="183"/>
      <c r="N760" s="19"/>
    </row>
    <row r="761" spans="1:64" x14ac:dyDescent="0.2">
      <c r="A761" s="47" t="s">
        <v>493</v>
      </c>
      <c r="B761" s="55" t="s">
        <v>66</v>
      </c>
      <c r="C761" s="55" t="s">
        <v>631</v>
      </c>
      <c r="D761" s="178" t="s">
        <v>967</v>
      </c>
      <c r="E761" s="179"/>
      <c r="F761" s="179"/>
      <c r="G761" s="55" t="s">
        <v>999</v>
      </c>
      <c r="H761" s="64">
        <v>100</v>
      </c>
      <c r="I761" s="71">
        <v>79</v>
      </c>
      <c r="J761" s="64">
        <f>H761*AO761</f>
        <v>0</v>
      </c>
      <c r="K761" s="64">
        <f>H761*AP761</f>
        <v>7900</v>
      </c>
      <c r="L761" s="64">
        <f>H761*I761</f>
        <v>7900</v>
      </c>
      <c r="M761" s="79" t="s">
        <v>1020</v>
      </c>
      <c r="N761" s="19"/>
      <c r="Z761" s="35">
        <f>IF(AQ761="5",BJ761,0)</f>
        <v>0</v>
      </c>
      <c r="AB761" s="35">
        <f>IF(AQ761="1",BH761,0)</f>
        <v>0</v>
      </c>
      <c r="AC761" s="35">
        <f>IF(AQ761="1",BI761,0)</f>
        <v>7900</v>
      </c>
      <c r="AD761" s="35">
        <f>IF(AQ761="7",BH761,0)</f>
        <v>0</v>
      </c>
      <c r="AE761" s="35">
        <f>IF(AQ761="7",BI761,0)</f>
        <v>0</v>
      </c>
      <c r="AF761" s="35">
        <f>IF(AQ761="2",BH761,0)</f>
        <v>0</v>
      </c>
      <c r="AG761" s="35">
        <f>IF(AQ761="2",BI761,0)</f>
        <v>0</v>
      </c>
      <c r="AH761" s="35">
        <f>IF(AQ761="0",BJ761,0)</f>
        <v>0</v>
      </c>
      <c r="AI761" s="83" t="s">
        <v>66</v>
      </c>
      <c r="AJ761" s="64">
        <f>IF(AN761=0,L761,0)</f>
        <v>0</v>
      </c>
      <c r="AK761" s="64">
        <f>IF(AN761=15,L761,0)</f>
        <v>0</v>
      </c>
      <c r="AL761" s="64">
        <f>IF(AN761=21,L761,0)</f>
        <v>7900</v>
      </c>
      <c r="AN761" s="35">
        <v>21</v>
      </c>
      <c r="AO761" s="35">
        <f>I761*0</f>
        <v>0</v>
      </c>
      <c r="AP761" s="35">
        <f>I761*(1-0)</f>
        <v>79</v>
      </c>
      <c r="AQ761" s="84" t="s">
        <v>141</v>
      </c>
      <c r="AV761" s="35">
        <f>AW761+AX761</f>
        <v>7900</v>
      </c>
      <c r="AW761" s="35">
        <f>H761*AO761</f>
        <v>0</v>
      </c>
      <c r="AX761" s="35">
        <f>H761*AP761</f>
        <v>7900</v>
      </c>
      <c r="AY761" s="86" t="s">
        <v>1047</v>
      </c>
      <c r="AZ761" s="86" t="s">
        <v>1074</v>
      </c>
      <c r="BA761" s="83" t="s">
        <v>1080</v>
      </c>
      <c r="BC761" s="35">
        <f>AW761+AX761</f>
        <v>7900</v>
      </c>
      <c r="BD761" s="35">
        <f>I761/(100-BE761)*100</f>
        <v>79</v>
      </c>
      <c r="BE761" s="35">
        <v>0</v>
      </c>
      <c r="BF761" s="35">
        <f>761</f>
        <v>761</v>
      </c>
      <c r="BH761" s="64">
        <f>H761*AO761</f>
        <v>0</v>
      </c>
      <c r="BI761" s="64">
        <f>H761*AP761</f>
        <v>7900</v>
      </c>
      <c r="BJ761" s="64">
        <f>H761*I761</f>
        <v>7900</v>
      </c>
      <c r="BK761" s="64" t="s">
        <v>1086</v>
      </c>
      <c r="BL761" s="35" t="s">
        <v>118</v>
      </c>
    </row>
    <row r="762" spans="1:64" x14ac:dyDescent="0.2">
      <c r="A762" s="19"/>
      <c r="C762" s="59" t="s">
        <v>521</v>
      </c>
      <c r="D762" s="180" t="s">
        <v>968</v>
      </c>
      <c r="E762" s="181"/>
      <c r="F762" s="181"/>
      <c r="G762" s="181"/>
      <c r="H762" s="181"/>
      <c r="I762" s="182"/>
      <c r="J762" s="181"/>
      <c r="K762" s="181"/>
      <c r="L762" s="181"/>
      <c r="M762" s="183"/>
      <c r="N762" s="19"/>
    </row>
    <row r="763" spans="1:64" x14ac:dyDescent="0.2">
      <c r="A763" s="48"/>
      <c r="B763" s="56" t="s">
        <v>67</v>
      </c>
      <c r="C763" s="56"/>
      <c r="D763" s="184" t="s">
        <v>74</v>
      </c>
      <c r="E763" s="185"/>
      <c r="F763" s="185"/>
      <c r="G763" s="62" t="s">
        <v>60</v>
      </c>
      <c r="H763" s="62" t="s">
        <v>60</v>
      </c>
      <c r="I763" s="72" t="s">
        <v>60</v>
      </c>
      <c r="J763" s="90">
        <f>J764+J784</f>
        <v>18008</v>
      </c>
      <c r="K763" s="90">
        <f>K764+K784</f>
        <v>23167.239999999998</v>
      </c>
      <c r="L763" s="90">
        <f>L764+L784</f>
        <v>41175.24</v>
      </c>
      <c r="M763" s="80"/>
      <c r="N763" s="19"/>
    </row>
    <row r="764" spans="1:64" x14ac:dyDescent="0.2">
      <c r="A764" s="46"/>
      <c r="B764" s="54" t="s">
        <v>67</v>
      </c>
      <c r="C764" s="54" t="s">
        <v>119</v>
      </c>
      <c r="D764" s="176" t="s">
        <v>137</v>
      </c>
      <c r="E764" s="177"/>
      <c r="F764" s="177"/>
      <c r="G764" s="61" t="s">
        <v>60</v>
      </c>
      <c r="H764" s="61" t="s">
        <v>60</v>
      </c>
      <c r="I764" s="70" t="s">
        <v>60</v>
      </c>
      <c r="J764" s="89">
        <f>SUM(J765:J783)</f>
        <v>18008</v>
      </c>
      <c r="K764" s="89">
        <f>SUM(K765:K783)</f>
        <v>20727</v>
      </c>
      <c r="L764" s="89">
        <f>SUM(L765:L783)</f>
        <v>38735</v>
      </c>
      <c r="M764" s="78"/>
      <c r="N764" s="19"/>
      <c r="AI764" s="83" t="s">
        <v>67</v>
      </c>
      <c r="AS764" s="89">
        <f>SUM(AJ765:AJ783)</f>
        <v>0</v>
      </c>
      <c r="AT764" s="89">
        <f>SUM(AK765:AK783)</f>
        <v>0</v>
      </c>
      <c r="AU764" s="89">
        <f>SUM(AL765:AL783)</f>
        <v>38735</v>
      </c>
    </row>
    <row r="765" spans="1:64" x14ac:dyDescent="0.2">
      <c r="A765" s="47" t="s">
        <v>494</v>
      </c>
      <c r="B765" s="55" t="s">
        <v>67</v>
      </c>
      <c r="C765" s="55" t="s">
        <v>814</v>
      </c>
      <c r="D765" s="178" t="s">
        <v>972</v>
      </c>
      <c r="E765" s="179"/>
      <c r="F765" s="179"/>
      <c r="G765" s="55" t="s">
        <v>997</v>
      </c>
      <c r="H765" s="64">
        <v>90</v>
      </c>
      <c r="I765" s="71">
        <v>41</v>
      </c>
      <c r="J765" s="64">
        <f t="shared" ref="J765:J783" si="24">H765*AO765</f>
        <v>0</v>
      </c>
      <c r="K765" s="64">
        <f t="shared" ref="K765:K783" si="25">H765*AP765</f>
        <v>3690</v>
      </c>
      <c r="L765" s="64">
        <f t="shared" ref="L765:L783" si="26">H765*I765</f>
        <v>3690</v>
      </c>
      <c r="M765" s="79"/>
      <c r="N765" s="19"/>
      <c r="Z765" s="35">
        <f t="shared" ref="Z765:Z783" si="27">IF(AQ765="5",BJ765,0)</f>
        <v>0</v>
      </c>
      <c r="AB765" s="35">
        <f t="shared" ref="AB765:AB783" si="28">IF(AQ765="1",BH765,0)</f>
        <v>0</v>
      </c>
      <c r="AC765" s="35">
        <f t="shared" ref="AC765:AC783" si="29">IF(AQ765="1",BI765,0)</f>
        <v>0</v>
      </c>
      <c r="AD765" s="35">
        <f t="shared" ref="AD765:AD783" si="30">IF(AQ765="7",BH765,0)</f>
        <v>0</v>
      </c>
      <c r="AE765" s="35">
        <f t="shared" ref="AE765:AE783" si="31">IF(AQ765="7",BI765,0)</f>
        <v>0</v>
      </c>
      <c r="AF765" s="35">
        <f t="shared" ref="AF765:AF783" si="32">IF(AQ765="2",BH765,0)</f>
        <v>0</v>
      </c>
      <c r="AG765" s="35">
        <f t="shared" ref="AG765:AG783" si="33">IF(AQ765="2",BI765,0)</f>
        <v>3690</v>
      </c>
      <c r="AH765" s="35">
        <f t="shared" ref="AH765:AH783" si="34">IF(AQ765="0",BJ765,0)</f>
        <v>0</v>
      </c>
      <c r="AI765" s="83" t="s">
        <v>67</v>
      </c>
      <c r="AJ765" s="64">
        <f t="shared" ref="AJ765:AJ783" si="35">IF(AN765=0,L765,0)</f>
        <v>0</v>
      </c>
      <c r="AK765" s="64">
        <f t="shared" ref="AK765:AK783" si="36">IF(AN765=15,L765,0)</f>
        <v>0</v>
      </c>
      <c r="AL765" s="64">
        <f t="shared" ref="AL765:AL783" si="37">IF(AN765=21,L765,0)</f>
        <v>3690</v>
      </c>
      <c r="AN765" s="35">
        <v>21</v>
      </c>
      <c r="AO765" s="35">
        <f t="shared" ref="AO765:AO776" si="38">I765*0</f>
        <v>0</v>
      </c>
      <c r="AP765" s="35">
        <f t="shared" ref="AP765:AP776" si="39">I765*(1-0)</f>
        <v>41</v>
      </c>
      <c r="AQ765" s="84" t="s">
        <v>142</v>
      </c>
      <c r="AV765" s="35">
        <f t="shared" ref="AV765:AV783" si="40">AW765+AX765</f>
        <v>3690</v>
      </c>
      <c r="AW765" s="35">
        <f t="shared" ref="AW765:AW783" si="41">H765*AO765</f>
        <v>0</v>
      </c>
      <c r="AX765" s="35">
        <f t="shared" ref="AX765:AX783" si="42">H765*AP765</f>
        <v>3690</v>
      </c>
      <c r="AY765" s="86" t="s">
        <v>1048</v>
      </c>
      <c r="AZ765" s="86" t="s">
        <v>1075</v>
      </c>
      <c r="BA765" s="83" t="s">
        <v>1081</v>
      </c>
      <c r="BC765" s="35">
        <f t="shared" ref="BC765:BC783" si="43">AW765+AX765</f>
        <v>3690</v>
      </c>
      <c r="BD765" s="35">
        <f t="shared" ref="BD765:BD783" si="44">I765/(100-BE765)*100</f>
        <v>41</v>
      </c>
      <c r="BE765" s="35">
        <v>0</v>
      </c>
      <c r="BF765" s="35">
        <f>765</f>
        <v>765</v>
      </c>
      <c r="BH765" s="64">
        <f t="shared" ref="BH765:BH783" si="45">H765*AO765</f>
        <v>0</v>
      </c>
      <c r="BI765" s="64">
        <f t="shared" ref="BI765:BI783" si="46">H765*AP765</f>
        <v>3690</v>
      </c>
      <c r="BJ765" s="64">
        <f t="shared" ref="BJ765:BJ783" si="47">H765*I765</f>
        <v>3690</v>
      </c>
      <c r="BK765" s="64" t="s">
        <v>1086</v>
      </c>
      <c r="BL765" s="35" t="s">
        <v>119</v>
      </c>
    </row>
    <row r="766" spans="1:64" x14ac:dyDescent="0.2">
      <c r="A766" s="47" t="s">
        <v>495</v>
      </c>
      <c r="B766" s="55" t="s">
        <v>67</v>
      </c>
      <c r="C766" s="55" t="s">
        <v>815</v>
      </c>
      <c r="D766" s="178" t="s">
        <v>973</v>
      </c>
      <c r="E766" s="179"/>
      <c r="F766" s="179"/>
      <c r="G766" s="55" t="s">
        <v>998</v>
      </c>
      <c r="H766" s="64">
        <v>4</v>
      </c>
      <c r="I766" s="71">
        <v>211</v>
      </c>
      <c r="J766" s="64">
        <f t="shared" si="24"/>
        <v>0</v>
      </c>
      <c r="K766" s="64">
        <f t="shared" si="25"/>
        <v>844</v>
      </c>
      <c r="L766" s="64">
        <f t="shared" si="26"/>
        <v>844</v>
      </c>
      <c r="M766" s="79"/>
      <c r="N766" s="19"/>
      <c r="Z766" s="35">
        <f t="shared" si="27"/>
        <v>0</v>
      </c>
      <c r="AB766" s="35">
        <f t="shared" si="28"/>
        <v>0</v>
      </c>
      <c r="AC766" s="35">
        <f t="shared" si="29"/>
        <v>0</v>
      </c>
      <c r="AD766" s="35">
        <f t="shared" si="30"/>
        <v>0</v>
      </c>
      <c r="AE766" s="35">
        <f t="shared" si="31"/>
        <v>0</v>
      </c>
      <c r="AF766" s="35">
        <f t="shared" si="32"/>
        <v>0</v>
      </c>
      <c r="AG766" s="35">
        <f t="shared" si="33"/>
        <v>844</v>
      </c>
      <c r="AH766" s="35">
        <f t="shared" si="34"/>
        <v>0</v>
      </c>
      <c r="AI766" s="83" t="s">
        <v>67</v>
      </c>
      <c r="AJ766" s="64">
        <f t="shared" si="35"/>
        <v>0</v>
      </c>
      <c r="AK766" s="64">
        <f t="shared" si="36"/>
        <v>0</v>
      </c>
      <c r="AL766" s="64">
        <f t="shared" si="37"/>
        <v>844</v>
      </c>
      <c r="AN766" s="35">
        <v>21</v>
      </c>
      <c r="AO766" s="35">
        <f t="shared" si="38"/>
        <v>0</v>
      </c>
      <c r="AP766" s="35">
        <f t="shared" si="39"/>
        <v>211</v>
      </c>
      <c r="AQ766" s="84" t="s">
        <v>142</v>
      </c>
      <c r="AV766" s="35">
        <f t="shared" si="40"/>
        <v>844</v>
      </c>
      <c r="AW766" s="35">
        <f t="shared" si="41"/>
        <v>0</v>
      </c>
      <c r="AX766" s="35">
        <f t="shared" si="42"/>
        <v>844</v>
      </c>
      <c r="AY766" s="86" t="s">
        <v>1048</v>
      </c>
      <c r="AZ766" s="86" t="s">
        <v>1075</v>
      </c>
      <c r="BA766" s="83" t="s">
        <v>1081</v>
      </c>
      <c r="BC766" s="35">
        <f t="shared" si="43"/>
        <v>844</v>
      </c>
      <c r="BD766" s="35">
        <f t="shared" si="44"/>
        <v>211</v>
      </c>
      <c r="BE766" s="35">
        <v>0</v>
      </c>
      <c r="BF766" s="35">
        <f>766</f>
        <v>766</v>
      </c>
      <c r="BH766" s="64">
        <f t="shared" si="45"/>
        <v>0</v>
      </c>
      <c r="BI766" s="64">
        <f t="shared" si="46"/>
        <v>844</v>
      </c>
      <c r="BJ766" s="64">
        <f t="shared" si="47"/>
        <v>844</v>
      </c>
      <c r="BK766" s="64" t="s">
        <v>1086</v>
      </c>
      <c r="BL766" s="35" t="s">
        <v>119</v>
      </c>
    </row>
    <row r="767" spans="1:64" x14ac:dyDescent="0.2">
      <c r="A767" s="47" t="s">
        <v>496</v>
      </c>
      <c r="B767" s="55" t="s">
        <v>67</v>
      </c>
      <c r="C767" s="55" t="s">
        <v>816</v>
      </c>
      <c r="D767" s="178" t="s">
        <v>974</v>
      </c>
      <c r="E767" s="179"/>
      <c r="F767" s="179"/>
      <c r="G767" s="55" t="s">
        <v>997</v>
      </c>
      <c r="H767" s="64">
        <v>120</v>
      </c>
      <c r="I767" s="71">
        <v>34</v>
      </c>
      <c r="J767" s="64">
        <f t="shared" si="24"/>
        <v>0</v>
      </c>
      <c r="K767" s="64">
        <f t="shared" si="25"/>
        <v>4080</v>
      </c>
      <c r="L767" s="64">
        <f t="shared" si="26"/>
        <v>4080</v>
      </c>
      <c r="M767" s="79"/>
      <c r="N767" s="19"/>
      <c r="Z767" s="35">
        <f t="shared" si="27"/>
        <v>0</v>
      </c>
      <c r="AB767" s="35">
        <f t="shared" si="28"/>
        <v>0</v>
      </c>
      <c r="AC767" s="35">
        <f t="shared" si="29"/>
        <v>0</v>
      </c>
      <c r="AD767" s="35">
        <f t="shared" si="30"/>
        <v>0</v>
      </c>
      <c r="AE767" s="35">
        <f t="shared" si="31"/>
        <v>0</v>
      </c>
      <c r="AF767" s="35">
        <f t="shared" si="32"/>
        <v>0</v>
      </c>
      <c r="AG767" s="35">
        <f t="shared" si="33"/>
        <v>4080</v>
      </c>
      <c r="AH767" s="35">
        <f t="shared" si="34"/>
        <v>0</v>
      </c>
      <c r="AI767" s="83" t="s">
        <v>67</v>
      </c>
      <c r="AJ767" s="64">
        <f t="shared" si="35"/>
        <v>0</v>
      </c>
      <c r="AK767" s="64">
        <f t="shared" si="36"/>
        <v>0</v>
      </c>
      <c r="AL767" s="64">
        <f t="shared" si="37"/>
        <v>4080</v>
      </c>
      <c r="AN767" s="35">
        <v>21</v>
      </c>
      <c r="AO767" s="35">
        <f t="shared" si="38"/>
        <v>0</v>
      </c>
      <c r="AP767" s="35">
        <f t="shared" si="39"/>
        <v>34</v>
      </c>
      <c r="AQ767" s="84" t="s">
        <v>142</v>
      </c>
      <c r="AV767" s="35">
        <f t="shared" si="40"/>
        <v>4080</v>
      </c>
      <c r="AW767" s="35">
        <f t="shared" si="41"/>
        <v>0</v>
      </c>
      <c r="AX767" s="35">
        <f t="shared" si="42"/>
        <v>4080</v>
      </c>
      <c r="AY767" s="86" t="s">
        <v>1048</v>
      </c>
      <c r="AZ767" s="86" t="s">
        <v>1075</v>
      </c>
      <c r="BA767" s="83" t="s">
        <v>1081</v>
      </c>
      <c r="BC767" s="35">
        <f t="shared" si="43"/>
        <v>4080</v>
      </c>
      <c r="BD767" s="35">
        <f t="shared" si="44"/>
        <v>34</v>
      </c>
      <c r="BE767" s="35">
        <v>0</v>
      </c>
      <c r="BF767" s="35">
        <f>767</f>
        <v>767</v>
      </c>
      <c r="BH767" s="64">
        <f t="shared" si="45"/>
        <v>0</v>
      </c>
      <c r="BI767" s="64">
        <f t="shared" si="46"/>
        <v>4080</v>
      </c>
      <c r="BJ767" s="64">
        <f t="shared" si="47"/>
        <v>4080</v>
      </c>
      <c r="BK767" s="64" t="s">
        <v>1086</v>
      </c>
      <c r="BL767" s="35" t="s">
        <v>119</v>
      </c>
    </row>
    <row r="768" spans="1:64" x14ac:dyDescent="0.2">
      <c r="A768" s="47" t="s">
        <v>497</v>
      </c>
      <c r="B768" s="55" t="s">
        <v>67</v>
      </c>
      <c r="C768" s="55" t="s">
        <v>817</v>
      </c>
      <c r="D768" s="178" t="s">
        <v>975</v>
      </c>
      <c r="E768" s="179"/>
      <c r="F768" s="179"/>
      <c r="G768" s="55" t="s">
        <v>997</v>
      </c>
      <c r="H768" s="64">
        <v>85</v>
      </c>
      <c r="I768" s="71">
        <v>29</v>
      </c>
      <c r="J768" s="64">
        <f t="shared" si="24"/>
        <v>0</v>
      </c>
      <c r="K768" s="64">
        <f t="shared" si="25"/>
        <v>2465</v>
      </c>
      <c r="L768" s="64">
        <f t="shared" si="26"/>
        <v>2465</v>
      </c>
      <c r="M768" s="79"/>
      <c r="N768" s="19"/>
      <c r="Z768" s="35">
        <f t="shared" si="27"/>
        <v>0</v>
      </c>
      <c r="AB768" s="35">
        <f t="shared" si="28"/>
        <v>0</v>
      </c>
      <c r="AC768" s="35">
        <f t="shared" si="29"/>
        <v>0</v>
      </c>
      <c r="AD768" s="35">
        <f t="shared" si="30"/>
        <v>0</v>
      </c>
      <c r="AE768" s="35">
        <f t="shared" si="31"/>
        <v>0</v>
      </c>
      <c r="AF768" s="35">
        <f t="shared" si="32"/>
        <v>0</v>
      </c>
      <c r="AG768" s="35">
        <f t="shared" si="33"/>
        <v>2465</v>
      </c>
      <c r="AH768" s="35">
        <f t="shared" si="34"/>
        <v>0</v>
      </c>
      <c r="AI768" s="83" t="s">
        <v>67</v>
      </c>
      <c r="AJ768" s="64">
        <f t="shared" si="35"/>
        <v>0</v>
      </c>
      <c r="AK768" s="64">
        <f t="shared" si="36"/>
        <v>0</v>
      </c>
      <c r="AL768" s="64">
        <f t="shared" si="37"/>
        <v>2465</v>
      </c>
      <c r="AN768" s="35">
        <v>21</v>
      </c>
      <c r="AO768" s="35">
        <f t="shared" si="38"/>
        <v>0</v>
      </c>
      <c r="AP768" s="35">
        <f t="shared" si="39"/>
        <v>29</v>
      </c>
      <c r="AQ768" s="84" t="s">
        <v>142</v>
      </c>
      <c r="AV768" s="35">
        <f t="shared" si="40"/>
        <v>2465</v>
      </c>
      <c r="AW768" s="35">
        <f t="shared" si="41"/>
        <v>0</v>
      </c>
      <c r="AX768" s="35">
        <f t="shared" si="42"/>
        <v>2465</v>
      </c>
      <c r="AY768" s="86" t="s">
        <v>1048</v>
      </c>
      <c r="AZ768" s="86" t="s">
        <v>1075</v>
      </c>
      <c r="BA768" s="83" t="s">
        <v>1081</v>
      </c>
      <c r="BC768" s="35">
        <f t="shared" si="43"/>
        <v>2465</v>
      </c>
      <c r="BD768" s="35">
        <f t="shared" si="44"/>
        <v>28.999999999999996</v>
      </c>
      <c r="BE768" s="35">
        <v>0</v>
      </c>
      <c r="BF768" s="35">
        <f>768</f>
        <v>768</v>
      </c>
      <c r="BH768" s="64">
        <f t="shared" si="45"/>
        <v>0</v>
      </c>
      <c r="BI768" s="64">
        <f t="shared" si="46"/>
        <v>2465</v>
      </c>
      <c r="BJ768" s="64">
        <f t="shared" si="47"/>
        <v>2465</v>
      </c>
      <c r="BK768" s="64" t="s">
        <v>1086</v>
      </c>
      <c r="BL768" s="35" t="s">
        <v>119</v>
      </c>
    </row>
    <row r="769" spans="1:64" x14ac:dyDescent="0.2">
      <c r="A769" s="47" t="s">
        <v>498</v>
      </c>
      <c r="B769" s="55" t="s">
        <v>67</v>
      </c>
      <c r="C769" s="55" t="s">
        <v>818</v>
      </c>
      <c r="D769" s="178" t="s">
        <v>976</v>
      </c>
      <c r="E769" s="179"/>
      <c r="F769" s="179"/>
      <c r="G769" s="55" t="s">
        <v>998</v>
      </c>
      <c r="H769" s="64">
        <v>8</v>
      </c>
      <c r="I769" s="71">
        <v>120</v>
      </c>
      <c r="J769" s="64">
        <f t="shared" si="24"/>
        <v>0</v>
      </c>
      <c r="K769" s="64">
        <f t="shared" si="25"/>
        <v>960</v>
      </c>
      <c r="L769" s="64">
        <f t="shared" si="26"/>
        <v>960</v>
      </c>
      <c r="M769" s="79"/>
      <c r="N769" s="19"/>
      <c r="Z769" s="35">
        <f t="shared" si="27"/>
        <v>0</v>
      </c>
      <c r="AB769" s="35">
        <f t="shared" si="28"/>
        <v>0</v>
      </c>
      <c r="AC769" s="35">
        <f t="shared" si="29"/>
        <v>0</v>
      </c>
      <c r="AD769" s="35">
        <f t="shared" si="30"/>
        <v>0</v>
      </c>
      <c r="AE769" s="35">
        <f t="shared" si="31"/>
        <v>0</v>
      </c>
      <c r="AF769" s="35">
        <f t="shared" si="32"/>
        <v>0</v>
      </c>
      <c r="AG769" s="35">
        <f t="shared" si="33"/>
        <v>960</v>
      </c>
      <c r="AH769" s="35">
        <f t="shared" si="34"/>
        <v>0</v>
      </c>
      <c r="AI769" s="83" t="s">
        <v>67</v>
      </c>
      <c r="AJ769" s="64">
        <f t="shared" si="35"/>
        <v>0</v>
      </c>
      <c r="AK769" s="64">
        <f t="shared" si="36"/>
        <v>0</v>
      </c>
      <c r="AL769" s="64">
        <f t="shared" si="37"/>
        <v>960</v>
      </c>
      <c r="AN769" s="35">
        <v>21</v>
      </c>
      <c r="AO769" s="35">
        <f t="shared" si="38"/>
        <v>0</v>
      </c>
      <c r="AP769" s="35">
        <f t="shared" si="39"/>
        <v>120</v>
      </c>
      <c r="AQ769" s="84" t="s">
        <v>142</v>
      </c>
      <c r="AV769" s="35">
        <f t="shared" si="40"/>
        <v>960</v>
      </c>
      <c r="AW769" s="35">
        <f t="shared" si="41"/>
        <v>0</v>
      </c>
      <c r="AX769" s="35">
        <f t="shared" si="42"/>
        <v>960</v>
      </c>
      <c r="AY769" s="86" t="s">
        <v>1048</v>
      </c>
      <c r="AZ769" s="86" t="s">
        <v>1075</v>
      </c>
      <c r="BA769" s="83" t="s">
        <v>1081</v>
      </c>
      <c r="BC769" s="35">
        <f t="shared" si="43"/>
        <v>960</v>
      </c>
      <c r="BD769" s="35">
        <f t="shared" si="44"/>
        <v>120</v>
      </c>
      <c r="BE769" s="35">
        <v>0</v>
      </c>
      <c r="BF769" s="35">
        <f>769</f>
        <v>769</v>
      </c>
      <c r="BH769" s="64">
        <f t="shared" si="45"/>
        <v>0</v>
      </c>
      <c r="BI769" s="64">
        <f t="shared" si="46"/>
        <v>960</v>
      </c>
      <c r="BJ769" s="64">
        <f t="shared" si="47"/>
        <v>960</v>
      </c>
      <c r="BK769" s="64" t="s">
        <v>1086</v>
      </c>
      <c r="BL769" s="35" t="s">
        <v>119</v>
      </c>
    </row>
    <row r="770" spans="1:64" x14ac:dyDescent="0.2">
      <c r="A770" s="47" t="s">
        <v>499</v>
      </c>
      <c r="B770" s="55" t="s">
        <v>67</v>
      </c>
      <c r="C770" s="55" t="s">
        <v>819</v>
      </c>
      <c r="D770" s="178" t="s">
        <v>977</v>
      </c>
      <c r="E770" s="179"/>
      <c r="F770" s="179"/>
      <c r="G770" s="55" t="s">
        <v>1008</v>
      </c>
      <c r="H770" s="64">
        <v>8</v>
      </c>
      <c r="I770" s="71">
        <v>112</v>
      </c>
      <c r="J770" s="64">
        <f t="shared" si="24"/>
        <v>0</v>
      </c>
      <c r="K770" s="64">
        <f t="shared" si="25"/>
        <v>896</v>
      </c>
      <c r="L770" s="64">
        <f t="shared" si="26"/>
        <v>896</v>
      </c>
      <c r="M770" s="79"/>
      <c r="N770" s="19"/>
      <c r="Z770" s="35">
        <f t="shared" si="27"/>
        <v>0</v>
      </c>
      <c r="AB770" s="35">
        <f t="shared" si="28"/>
        <v>0</v>
      </c>
      <c r="AC770" s="35">
        <f t="shared" si="29"/>
        <v>896</v>
      </c>
      <c r="AD770" s="35">
        <f t="shared" si="30"/>
        <v>0</v>
      </c>
      <c r="AE770" s="35">
        <f t="shared" si="31"/>
        <v>0</v>
      </c>
      <c r="AF770" s="35">
        <f t="shared" si="32"/>
        <v>0</v>
      </c>
      <c r="AG770" s="35">
        <f t="shared" si="33"/>
        <v>0</v>
      </c>
      <c r="AH770" s="35">
        <f t="shared" si="34"/>
        <v>0</v>
      </c>
      <c r="AI770" s="83" t="s">
        <v>67</v>
      </c>
      <c r="AJ770" s="64">
        <f t="shared" si="35"/>
        <v>0</v>
      </c>
      <c r="AK770" s="64">
        <f t="shared" si="36"/>
        <v>0</v>
      </c>
      <c r="AL770" s="64">
        <f t="shared" si="37"/>
        <v>896</v>
      </c>
      <c r="AN770" s="35">
        <v>21</v>
      </c>
      <c r="AO770" s="35">
        <f t="shared" si="38"/>
        <v>0</v>
      </c>
      <c r="AP770" s="35">
        <f t="shared" si="39"/>
        <v>112</v>
      </c>
      <c r="AQ770" s="84" t="s">
        <v>141</v>
      </c>
      <c r="AV770" s="35">
        <f t="shared" si="40"/>
        <v>896</v>
      </c>
      <c r="AW770" s="35">
        <f t="shared" si="41"/>
        <v>0</v>
      </c>
      <c r="AX770" s="35">
        <f t="shared" si="42"/>
        <v>896</v>
      </c>
      <c r="AY770" s="86" t="s">
        <v>1048</v>
      </c>
      <c r="AZ770" s="86" t="s">
        <v>1075</v>
      </c>
      <c r="BA770" s="83" t="s">
        <v>1081</v>
      </c>
      <c r="BC770" s="35">
        <f t="shared" si="43"/>
        <v>896</v>
      </c>
      <c r="BD770" s="35">
        <f t="shared" si="44"/>
        <v>112.00000000000001</v>
      </c>
      <c r="BE770" s="35">
        <v>0</v>
      </c>
      <c r="BF770" s="35">
        <f>770</f>
        <v>770</v>
      </c>
      <c r="BH770" s="64">
        <f t="shared" si="45"/>
        <v>0</v>
      </c>
      <c r="BI770" s="64">
        <f t="shared" si="46"/>
        <v>896</v>
      </c>
      <c r="BJ770" s="64">
        <f t="shared" si="47"/>
        <v>896</v>
      </c>
      <c r="BK770" s="64" t="s">
        <v>1086</v>
      </c>
      <c r="BL770" s="35" t="s">
        <v>119</v>
      </c>
    </row>
    <row r="771" spans="1:64" x14ac:dyDescent="0.2">
      <c r="A771" s="47" t="s">
        <v>500</v>
      </c>
      <c r="B771" s="55" t="s">
        <v>67</v>
      </c>
      <c r="C771" s="55" t="s">
        <v>819</v>
      </c>
      <c r="D771" s="178" t="s">
        <v>978</v>
      </c>
      <c r="E771" s="179"/>
      <c r="F771" s="179"/>
      <c r="G771" s="55" t="s">
        <v>998</v>
      </c>
      <c r="H771" s="64">
        <v>20</v>
      </c>
      <c r="I771" s="71">
        <v>17</v>
      </c>
      <c r="J771" s="64">
        <f t="shared" si="24"/>
        <v>0</v>
      </c>
      <c r="K771" s="64">
        <f t="shared" si="25"/>
        <v>340</v>
      </c>
      <c r="L771" s="64">
        <f t="shared" si="26"/>
        <v>340</v>
      </c>
      <c r="M771" s="79"/>
      <c r="N771" s="19"/>
      <c r="Z771" s="35">
        <f t="shared" si="27"/>
        <v>0</v>
      </c>
      <c r="AB771" s="35">
        <f t="shared" si="28"/>
        <v>0</v>
      </c>
      <c r="AC771" s="35">
        <f t="shared" si="29"/>
        <v>340</v>
      </c>
      <c r="AD771" s="35">
        <f t="shared" si="30"/>
        <v>0</v>
      </c>
      <c r="AE771" s="35">
        <f t="shared" si="31"/>
        <v>0</v>
      </c>
      <c r="AF771" s="35">
        <f t="shared" si="32"/>
        <v>0</v>
      </c>
      <c r="AG771" s="35">
        <f t="shared" si="33"/>
        <v>0</v>
      </c>
      <c r="AH771" s="35">
        <f t="shared" si="34"/>
        <v>0</v>
      </c>
      <c r="AI771" s="83" t="s">
        <v>67</v>
      </c>
      <c r="AJ771" s="64">
        <f t="shared" si="35"/>
        <v>0</v>
      </c>
      <c r="AK771" s="64">
        <f t="shared" si="36"/>
        <v>0</v>
      </c>
      <c r="AL771" s="64">
        <f t="shared" si="37"/>
        <v>340</v>
      </c>
      <c r="AN771" s="35">
        <v>21</v>
      </c>
      <c r="AO771" s="35">
        <f t="shared" si="38"/>
        <v>0</v>
      </c>
      <c r="AP771" s="35">
        <f t="shared" si="39"/>
        <v>17</v>
      </c>
      <c r="AQ771" s="84" t="s">
        <v>141</v>
      </c>
      <c r="AV771" s="35">
        <f t="shared" si="40"/>
        <v>340</v>
      </c>
      <c r="AW771" s="35">
        <f t="shared" si="41"/>
        <v>0</v>
      </c>
      <c r="AX771" s="35">
        <f t="shared" si="42"/>
        <v>340</v>
      </c>
      <c r="AY771" s="86" t="s">
        <v>1048</v>
      </c>
      <c r="AZ771" s="86" t="s">
        <v>1075</v>
      </c>
      <c r="BA771" s="83" t="s">
        <v>1081</v>
      </c>
      <c r="BC771" s="35">
        <f t="shared" si="43"/>
        <v>340</v>
      </c>
      <c r="BD771" s="35">
        <f t="shared" si="44"/>
        <v>17</v>
      </c>
      <c r="BE771" s="35">
        <v>0</v>
      </c>
      <c r="BF771" s="35">
        <f>771</f>
        <v>771</v>
      </c>
      <c r="BH771" s="64">
        <f t="shared" si="45"/>
        <v>0</v>
      </c>
      <c r="BI771" s="64">
        <f t="shared" si="46"/>
        <v>340</v>
      </c>
      <c r="BJ771" s="64">
        <f t="shared" si="47"/>
        <v>340</v>
      </c>
      <c r="BK771" s="64" t="s">
        <v>1086</v>
      </c>
      <c r="BL771" s="35" t="s">
        <v>119</v>
      </c>
    </row>
    <row r="772" spans="1:64" x14ac:dyDescent="0.2">
      <c r="A772" s="47" t="s">
        <v>501</v>
      </c>
      <c r="B772" s="55" t="s">
        <v>67</v>
      </c>
      <c r="C772" s="55" t="s">
        <v>819</v>
      </c>
      <c r="D772" s="178" t="s">
        <v>979</v>
      </c>
      <c r="E772" s="179"/>
      <c r="F772" s="179"/>
      <c r="G772" s="55" t="s">
        <v>1009</v>
      </c>
      <c r="H772" s="64">
        <v>8</v>
      </c>
      <c r="I772" s="71">
        <v>252</v>
      </c>
      <c r="J772" s="64">
        <f t="shared" si="24"/>
        <v>0</v>
      </c>
      <c r="K772" s="64">
        <f t="shared" si="25"/>
        <v>2016</v>
      </c>
      <c r="L772" s="64">
        <f t="shared" si="26"/>
        <v>2016</v>
      </c>
      <c r="M772" s="79"/>
      <c r="N772" s="19"/>
      <c r="Z772" s="35">
        <f t="shared" si="27"/>
        <v>0</v>
      </c>
      <c r="AB772" s="35">
        <f t="shared" si="28"/>
        <v>0</v>
      </c>
      <c r="AC772" s="35">
        <f t="shared" si="29"/>
        <v>2016</v>
      </c>
      <c r="AD772" s="35">
        <f t="shared" si="30"/>
        <v>0</v>
      </c>
      <c r="AE772" s="35">
        <f t="shared" si="31"/>
        <v>0</v>
      </c>
      <c r="AF772" s="35">
        <f t="shared" si="32"/>
        <v>0</v>
      </c>
      <c r="AG772" s="35">
        <f t="shared" si="33"/>
        <v>0</v>
      </c>
      <c r="AH772" s="35">
        <f t="shared" si="34"/>
        <v>0</v>
      </c>
      <c r="AI772" s="83" t="s">
        <v>67</v>
      </c>
      <c r="AJ772" s="64">
        <f t="shared" si="35"/>
        <v>0</v>
      </c>
      <c r="AK772" s="64">
        <f t="shared" si="36"/>
        <v>0</v>
      </c>
      <c r="AL772" s="64">
        <f t="shared" si="37"/>
        <v>2016</v>
      </c>
      <c r="AN772" s="35">
        <v>21</v>
      </c>
      <c r="AO772" s="35">
        <f t="shared" si="38"/>
        <v>0</v>
      </c>
      <c r="AP772" s="35">
        <f t="shared" si="39"/>
        <v>252</v>
      </c>
      <c r="AQ772" s="84" t="s">
        <v>141</v>
      </c>
      <c r="AV772" s="35">
        <f t="shared" si="40"/>
        <v>2016</v>
      </c>
      <c r="AW772" s="35">
        <f t="shared" si="41"/>
        <v>0</v>
      </c>
      <c r="AX772" s="35">
        <f t="shared" si="42"/>
        <v>2016</v>
      </c>
      <c r="AY772" s="86" t="s">
        <v>1048</v>
      </c>
      <c r="AZ772" s="86" t="s">
        <v>1075</v>
      </c>
      <c r="BA772" s="83" t="s">
        <v>1081</v>
      </c>
      <c r="BC772" s="35">
        <f t="shared" si="43"/>
        <v>2016</v>
      </c>
      <c r="BD772" s="35">
        <f t="shared" si="44"/>
        <v>252</v>
      </c>
      <c r="BE772" s="35">
        <v>0</v>
      </c>
      <c r="BF772" s="35">
        <f>772</f>
        <v>772</v>
      </c>
      <c r="BH772" s="64">
        <f t="shared" si="45"/>
        <v>0</v>
      </c>
      <c r="BI772" s="64">
        <f t="shared" si="46"/>
        <v>2016</v>
      </c>
      <c r="BJ772" s="64">
        <f t="shared" si="47"/>
        <v>2016</v>
      </c>
      <c r="BK772" s="64" t="s">
        <v>1086</v>
      </c>
      <c r="BL772" s="35" t="s">
        <v>119</v>
      </c>
    </row>
    <row r="773" spans="1:64" x14ac:dyDescent="0.2">
      <c r="A773" s="47" t="s">
        <v>502</v>
      </c>
      <c r="B773" s="55" t="s">
        <v>67</v>
      </c>
      <c r="C773" s="55" t="s">
        <v>819</v>
      </c>
      <c r="D773" s="178" t="s">
        <v>980</v>
      </c>
      <c r="E773" s="179"/>
      <c r="F773" s="179"/>
      <c r="G773" s="55" t="s">
        <v>1009</v>
      </c>
      <c r="H773" s="64">
        <v>4</v>
      </c>
      <c r="I773" s="71">
        <v>252</v>
      </c>
      <c r="J773" s="64">
        <f t="shared" si="24"/>
        <v>0</v>
      </c>
      <c r="K773" s="64">
        <f t="shared" si="25"/>
        <v>1008</v>
      </c>
      <c r="L773" s="64">
        <f t="shared" si="26"/>
        <v>1008</v>
      </c>
      <c r="M773" s="79"/>
      <c r="N773" s="19"/>
      <c r="Z773" s="35">
        <f t="shared" si="27"/>
        <v>0</v>
      </c>
      <c r="AB773" s="35">
        <f t="shared" si="28"/>
        <v>0</v>
      </c>
      <c r="AC773" s="35">
        <f t="shared" si="29"/>
        <v>1008</v>
      </c>
      <c r="AD773" s="35">
        <f t="shared" si="30"/>
        <v>0</v>
      </c>
      <c r="AE773" s="35">
        <f t="shared" si="31"/>
        <v>0</v>
      </c>
      <c r="AF773" s="35">
        <f t="shared" si="32"/>
        <v>0</v>
      </c>
      <c r="AG773" s="35">
        <f t="shared" si="33"/>
        <v>0</v>
      </c>
      <c r="AH773" s="35">
        <f t="shared" si="34"/>
        <v>0</v>
      </c>
      <c r="AI773" s="83" t="s">
        <v>67</v>
      </c>
      <c r="AJ773" s="64">
        <f t="shared" si="35"/>
        <v>0</v>
      </c>
      <c r="AK773" s="64">
        <f t="shared" si="36"/>
        <v>0</v>
      </c>
      <c r="AL773" s="64">
        <f t="shared" si="37"/>
        <v>1008</v>
      </c>
      <c r="AN773" s="35">
        <v>21</v>
      </c>
      <c r="AO773" s="35">
        <f t="shared" si="38"/>
        <v>0</v>
      </c>
      <c r="AP773" s="35">
        <f t="shared" si="39"/>
        <v>252</v>
      </c>
      <c r="AQ773" s="84" t="s">
        <v>141</v>
      </c>
      <c r="AV773" s="35">
        <f t="shared" si="40"/>
        <v>1008</v>
      </c>
      <c r="AW773" s="35">
        <f t="shared" si="41"/>
        <v>0</v>
      </c>
      <c r="AX773" s="35">
        <f t="shared" si="42"/>
        <v>1008</v>
      </c>
      <c r="AY773" s="86" t="s">
        <v>1048</v>
      </c>
      <c r="AZ773" s="86" t="s">
        <v>1075</v>
      </c>
      <c r="BA773" s="83" t="s">
        <v>1081</v>
      </c>
      <c r="BC773" s="35">
        <f t="shared" si="43"/>
        <v>1008</v>
      </c>
      <c r="BD773" s="35">
        <f t="shared" si="44"/>
        <v>252</v>
      </c>
      <c r="BE773" s="35">
        <v>0</v>
      </c>
      <c r="BF773" s="35">
        <f>773</f>
        <v>773</v>
      </c>
      <c r="BH773" s="64">
        <f t="shared" si="45"/>
        <v>0</v>
      </c>
      <c r="BI773" s="64">
        <f t="shared" si="46"/>
        <v>1008</v>
      </c>
      <c r="BJ773" s="64">
        <f t="shared" si="47"/>
        <v>1008</v>
      </c>
      <c r="BK773" s="64" t="s">
        <v>1086</v>
      </c>
      <c r="BL773" s="35" t="s">
        <v>119</v>
      </c>
    </row>
    <row r="774" spans="1:64" x14ac:dyDescent="0.2">
      <c r="A774" s="47" t="s">
        <v>503</v>
      </c>
      <c r="B774" s="55" t="s">
        <v>67</v>
      </c>
      <c r="C774" s="55" t="s">
        <v>819</v>
      </c>
      <c r="D774" s="178" t="s">
        <v>981</v>
      </c>
      <c r="E774" s="179"/>
      <c r="F774" s="179"/>
      <c r="G774" s="55" t="s">
        <v>1009</v>
      </c>
      <c r="H774" s="64">
        <v>4</v>
      </c>
      <c r="I774" s="71">
        <v>252</v>
      </c>
      <c r="J774" s="64">
        <f t="shared" si="24"/>
        <v>0</v>
      </c>
      <c r="K774" s="64">
        <f t="shared" si="25"/>
        <v>1008</v>
      </c>
      <c r="L774" s="64">
        <f t="shared" si="26"/>
        <v>1008</v>
      </c>
      <c r="M774" s="79"/>
      <c r="N774" s="19"/>
      <c r="Z774" s="35">
        <f t="shared" si="27"/>
        <v>0</v>
      </c>
      <c r="AB774" s="35">
        <f t="shared" si="28"/>
        <v>0</v>
      </c>
      <c r="AC774" s="35">
        <f t="shared" si="29"/>
        <v>1008</v>
      </c>
      <c r="AD774" s="35">
        <f t="shared" si="30"/>
        <v>0</v>
      </c>
      <c r="AE774" s="35">
        <f t="shared" si="31"/>
        <v>0</v>
      </c>
      <c r="AF774" s="35">
        <f t="shared" si="32"/>
        <v>0</v>
      </c>
      <c r="AG774" s="35">
        <f t="shared" si="33"/>
        <v>0</v>
      </c>
      <c r="AH774" s="35">
        <f t="shared" si="34"/>
        <v>0</v>
      </c>
      <c r="AI774" s="83" t="s">
        <v>67</v>
      </c>
      <c r="AJ774" s="64">
        <f t="shared" si="35"/>
        <v>0</v>
      </c>
      <c r="AK774" s="64">
        <f t="shared" si="36"/>
        <v>0</v>
      </c>
      <c r="AL774" s="64">
        <f t="shared" si="37"/>
        <v>1008</v>
      </c>
      <c r="AN774" s="35">
        <v>21</v>
      </c>
      <c r="AO774" s="35">
        <f t="shared" si="38"/>
        <v>0</v>
      </c>
      <c r="AP774" s="35">
        <f t="shared" si="39"/>
        <v>252</v>
      </c>
      <c r="AQ774" s="84" t="s">
        <v>141</v>
      </c>
      <c r="AV774" s="35">
        <f t="shared" si="40"/>
        <v>1008</v>
      </c>
      <c r="AW774" s="35">
        <f t="shared" si="41"/>
        <v>0</v>
      </c>
      <c r="AX774" s="35">
        <f t="shared" si="42"/>
        <v>1008</v>
      </c>
      <c r="AY774" s="86" t="s">
        <v>1048</v>
      </c>
      <c r="AZ774" s="86" t="s">
        <v>1075</v>
      </c>
      <c r="BA774" s="83" t="s">
        <v>1081</v>
      </c>
      <c r="BC774" s="35">
        <f t="shared" si="43"/>
        <v>1008</v>
      </c>
      <c r="BD774" s="35">
        <f t="shared" si="44"/>
        <v>252</v>
      </c>
      <c r="BE774" s="35">
        <v>0</v>
      </c>
      <c r="BF774" s="35">
        <f>774</f>
        <v>774</v>
      </c>
      <c r="BH774" s="64">
        <f t="shared" si="45"/>
        <v>0</v>
      </c>
      <c r="BI774" s="64">
        <f t="shared" si="46"/>
        <v>1008</v>
      </c>
      <c r="BJ774" s="64">
        <f t="shared" si="47"/>
        <v>1008</v>
      </c>
      <c r="BK774" s="64" t="s">
        <v>1086</v>
      </c>
      <c r="BL774" s="35" t="s">
        <v>119</v>
      </c>
    </row>
    <row r="775" spans="1:64" x14ac:dyDescent="0.2">
      <c r="A775" s="47" t="s">
        <v>504</v>
      </c>
      <c r="B775" s="55" t="s">
        <v>67</v>
      </c>
      <c r="C775" s="55" t="s">
        <v>820</v>
      </c>
      <c r="D775" s="178" t="s">
        <v>982</v>
      </c>
      <c r="E775" s="179"/>
      <c r="F775" s="179"/>
      <c r="G775" s="55" t="s">
        <v>1009</v>
      </c>
      <c r="H775" s="64">
        <v>6</v>
      </c>
      <c r="I775" s="71">
        <v>402</v>
      </c>
      <c r="J775" s="64">
        <f t="shared" si="24"/>
        <v>0</v>
      </c>
      <c r="K775" s="64">
        <f t="shared" si="25"/>
        <v>2412</v>
      </c>
      <c r="L775" s="64">
        <f t="shared" si="26"/>
        <v>2412</v>
      </c>
      <c r="M775" s="79"/>
      <c r="N775" s="19"/>
      <c r="Z775" s="35">
        <f t="shared" si="27"/>
        <v>0</v>
      </c>
      <c r="AB775" s="35">
        <f t="shared" si="28"/>
        <v>0</v>
      </c>
      <c r="AC775" s="35">
        <f t="shared" si="29"/>
        <v>0</v>
      </c>
      <c r="AD775" s="35">
        <f t="shared" si="30"/>
        <v>0</v>
      </c>
      <c r="AE775" s="35">
        <f t="shared" si="31"/>
        <v>0</v>
      </c>
      <c r="AF775" s="35">
        <f t="shared" si="32"/>
        <v>0</v>
      </c>
      <c r="AG775" s="35">
        <f t="shared" si="33"/>
        <v>2412</v>
      </c>
      <c r="AH775" s="35">
        <f t="shared" si="34"/>
        <v>0</v>
      </c>
      <c r="AI775" s="83" t="s">
        <v>67</v>
      </c>
      <c r="AJ775" s="64">
        <f t="shared" si="35"/>
        <v>0</v>
      </c>
      <c r="AK775" s="64">
        <f t="shared" si="36"/>
        <v>0</v>
      </c>
      <c r="AL775" s="64">
        <f t="shared" si="37"/>
        <v>2412</v>
      </c>
      <c r="AN775" s="35">
        <v>21</v>
      </c>
      <c r="AO775" s="35">
        <f t="shared" si="38"/>
        <v>0</v>
      </c>
      <c r="AP775" s="35">
        <f t="shared" si="39"/>
        <v>402</v>
      </c>
      <c r="AQ775" s="84" t="s">
        <v>142</v>
      </c>
      <c r="AV775" s="35">
        <f t="shared" si="40"/>
        <v>2412</v>
      </c>
      <c r="AW775" s="35">
        <f t="shared" si="41"/>
        <v>0</v>
      </c>
      <c r="AX775" s="35">
        <f t="shared" si="42"/>
        <v>2412</v>
      </c>
      <c r="AY775" s="86" t="s">
        <v>1048</v>
      </c>
      <c r="AZ775" s="86" t="s">
        <v>1075</v>
      </c>
      <c r="BA775" s="83" t="s">
        <v>1081</v>
      </c>
      <c r="BC775" s="35">
        <f t="shared" si="43"/>
        <v>2412</v>
      </c>
      <c r="BD775" s="35">
        <f t="shared" si="44"/>
        <v>401.99999999999994</v>
      </c>
      <c r="BE775" s="35">
        <v>0</v>
      </c>
      <c r="BF775" s="35">
        <f>775</f>
        <v>775</v>
      </c>
      <c r="BH775" s="64">
        <f t="shared" si="45"/>
        <v>0</v>
      </c>
      <c r="BI775" s="64">
        <f t="shared" si="46"/>
        <v>2412</v>
      </c>
      <c r="BJ775" s="64">
        <f t="shared" si="47"/>
        <v>2412</v>
      </c>
      <c r="BK775" s="64" t="s">
        <v>1086</v>
      </c>
      <c r="BL775" s="35" t="s">
        <v>119</v>
      </c>
    </row>
    <row r="776" spans="1:64" x14ac:dyDescent="0.2">
      <c r="A776" s="47" t="s">
        <v>505</v>
      </c>
      <c r="B776" s="55" t="s">
        <v>67</v>
      </c>
      <c r="C776" s="55" t="s">
        <v>819</v>
      </c>
      <c r="D776" s="178" t="s">
        <v>983</v>
      </c>
      <c r="E776" s="179"/>
      <c r="F776" s="179"/>
      <c r="G776" s="55" t="s">
        <v>1009</v>
      </c>
      <c r="H776" s="64">
        <v>4</v>
      </c>
      <c r="I776" s="71">
        <v>252</v>
      </c>
      <c r="J776" s="64">
        <f t="shared" si="24"/>
        <v>0</v>
      </c>
      <c r="K776" s="64">
        <f t="shared" si="25"/>
        <v>1008</v>
      </c>
      <c r="L776" s="64">
        <f t="shared" si="26"/>
        <v>1008</v>
      </c>
      <c r="M776" s="79"/>
      <c r="N776" s="19"/>
      <c r="Z776" s="35">
        <f t="shared" si="27"/>
        <v>0</v>
      </c>
      <c r="AB776" s="35">
        <f t="shared" si="28"/>
        <v>0</v>
      </c>
      <c r="AC776" s="35">
        <f t="shared" si="29"/>
        <v>1008</v>
      </c>
      <c r="AD776" s="35">
        <f t="shared" si="30"/>
        <v>0</v>
      </c>
      <c r="AE776" s="35">
        <f t="shared" si="31"/>
        <v>0</v>
      </c>
      <c r="AF776" s="35">
        <f t="shared" si="32"/>
        <v>0</v>
      </c>
      <c r="AG776" s="35">
        <f t="shared" si="33"/>
        <v>0</v>
      </c>
      <c r="AH776" s="35">
        <f t="shared" si="34"/>
        <v>0</v>
      </c>
      <c r="AI776" s="83" t="s">
        <v>67</v>
      </c>
      <c r="AJ776" s="64">
        <f t="shared" si="35"/>
        <v>0</v>
      </c>
      <c r="AK776" s="64">
        <f t="shared" si="36"/>
        <v>0</v>
      </c>
      <c r="AL776" s="64">
        <f t="shared" si="37"/>
        <v>1008</v>
      </c>
      <c r="AN776" s="35">
        <v>21</v>
      </c>
      <c r="AO776" s="35">
        <f t="shared" si="38"/>
        <v>0</v>
      </c>
      <c r="AP776" s="35">
        <f t="shared" si="39"/>
        <v>252</v>
      </c>
      <c r="AQ776" s="84" t="s">
        <v>141</v>
      </c>
      <c r="AV776" s="35">
        <f t="shared" si="40"/>
        <v>1008</v>
      </c>
      <c r="AW776" s="35">
        <f t="shared" si="41"/>
        <v>0</v>
      </c>
      <c r="AX776" s="35">
        <f t="shared" si="42"/>
        <v>1008</v>
      </c>
      <c r="AY776" s="86" t="s">
        <v>1048</v>
      </c>
      <c r="AZ776" s="86" t="s">
        <v>1075</v>
      </c>
      <c r="BA776" s="83" t="s">
        <v>1081</v>
      </c>
      <c r="BC776" s="35">
        <f t="shared" si="43"/>
        <v>1008</v>
      </c>
      <c r="BD776" s="35">
        <f t="shared" si="44"/>
        <v>252</v>
      </c>
      <c r="BE776" s="35">
        <v>0</v>
      </c>
      <c r="BF776" s="35">
        <f>776</f>
        <v>776</v>
      </c>
      <c r="BH776" s="64">
        <f t="shared" si="45"/>
        <v>0</v>
      </c>
      <c r="BI776" s="64">
        <f t="shared" si="46"/>
        <v>1008</v>
      </c>
      <c r="BJ776" s="64">
        <f t="shared" si="47"/>
        <v>1008</v>
      </c>
      <c r="BK776" s="64" t="s">
        <v>1086</v>
      </c>
      <c r="BL776" s="35" t="s">
        <v>119</v>
      </c>
    </row>
    <row r="777" spans="1:64" x14ac:dyDescent="0.2">
      <c r="A777" s="49" t="s">
        <v>506</v>
      </c>
      <c r="B777" s="57" t="s">
        <v>67</v>
      </c>
      <c r="C777" s="57" t="s">
        <v>821</v>
      </c>
      <c r="D777" s="186" t="s">
        <v>984</v>
      </c>
      <c r="E777" s="187"/>
      <c r="F777" s="187"/>
      <c r="G777" s="57" t="s">
        <v>997</v>
      </c>
      <c r="H777" s="65">
        <v>10</v>
      </c>
      <c r="I777" s="73">
        <v>13</v>
      </c>
      <c r="J777" s="65">
        <f t="shared" si="24"/>
        <v>130</v>
      </c>
      <c r="K777" s="65">
        <f t="shared" si="25"/>
        <v>0</v>
      </c>
      <c r="L777" s="65">
        <f t="shared" si="26"/>
        <v>130</v>
      </c>
      <c r="M777" s="81"/>
      <c r="N777" s="19"/>
      <c r="Z777" s="35">
        <f t="shared" si="27"/>
        <v>0</v>
      </c>
      <c r="AB777" s="35">
        <f t="shared" si="28"/>
        <v>130</v>
      </c>
      <c r="AC777" s="35">
        <f t="shared" si="29"/>
        <v>0</v>
      </c>
      <c r="AD777" s="35">
        <f t="shared" si="30"/>
        <v>0</v>
      </c>
      <c r="AE777" s="35">
        <f t="shared" si="31"/>
        <v>0</v>
      </c>
      <c r="AF777" s="35">
        <f t="shared" si="32"/>
        <v>0</v>
      </c>
      <c r="AG777" s="35">
        <f t="shared" si="33"/>
        <v>0</v>
      </c>
      <c r="AH777" s="35">
        <f t="shared" si="34"/>
        <v>0</v>
      </c>
      <c r="AI777" s="83" t="s">
        <v>67</v>
      </c>
      <c r="AJ777" s="65">
        <f t="shared" si="35"/>
        <v>0</v>
      </c>
      <c r="AK777" s="65">
        <f t="shared" si="36"/>
        <v>0</v>
      </c>
      <c r="AL777" s="65">
        <f t="shared" si="37"/>
        <v>130</v>
      </c>
      <c r="AN777" s="35">
        <v>21</v>
      </c>
      <c r="AO777" s="35">
        <f t="shared" ref="AO777:AO783" si="48">I777*1</f>
        <v>13</v>
      </c>
      <c r="AP777" s="35">
        <f t="shared" ref="AP777:AP783" si="49">I777*(1-1)</f>
        <v>0</v>
      </c>
      <c r="AQ777" s="85" t="s">
        <v>141</v>
      </c>
      <c r="AV777" s="35">
        <f t="shared" si="40"/>
        <v>130</v>
      </c>
      <c r="AW777" s="35">
        <f t="shared" si="41"/>
        <v>130</v>
      </c>
      <c r="AX777" s="35">
        <f t="shared" si="42"/>
        <v>0</v>
      </c>
      <c r="AY777" s="86" t="s">
        <v>1048</v>
      </c>
      <c r="AZ777" s="86" t="s">
        <v>1075</v>
      </c>
      <c r="BA777" s="83" t="s">
        <v>1081</v>
      </c>
      <c r="BC777" s="35">
        <f t="shared" si="43"/>
        <v>130</v>
      </c>
      <c r="BD777" s="35">
        <f t="shared" si="44"/>
        <v>13</v>
      </c>
      <c r="BE777" s="35">
        <v>0</v>
      </c>
      <c r="BF777" s="35">
        <f>777</f>
        <v>777</v>
      </c>
      <c r="BH777" s="65">
        <f t="shared" si="45"/>
        <v>130</v>
      </c>
      <c r="BI777" s="65">
        <f t="shared" si="46"/>
        <v>0</v>
      </c>
      <c r="BJ777" s="65">
        <f t="shared" si="47"/>
        <v>130</v>
      </c>
      <c r="BK777" s="65" t="s">
        <v>1001</v>
      </c>
      <c r="BL777" s="35" t="s">
        <v>119</v>
      </c>
    </row>
    <row r="778" spans="1:64" x14ac:dyDescent="0.2">
      <c r="A778" s="49" t="s">
        <v>507</v>
      </c>
      <c r="B778" s="57" t="s">
        <v>67</v>
      </c>
      <c r="C778" s="57" t="s">
        <v>821</v>
      </c>
      <c r="D778" s="186" t="s">
        <v>985</v>
      </c>
      <c r="E778" s="187"/>
      <c r="F778" s="187"/>
      <c r="G778" s="57" t="s">
        <v>997</v>
      </c>
      <c r="H778" s="65">
        <v>80</v>
      </c>
      <c r="I778" s="73">
        <v>24</v>
      </c>
      <c r="J778" s="65">
        <f t="shared" si="24"/>
        <v>1920</v>
      </c>
      <c r="K778" s="65">
        <f t="shared" si="25"/>
        <v>0</v>
      </c>
      <c r="L778" s="65">
        <f t="shared" si="26"/>
        <v>1920</v>
      </c>
      <c r="M778" s="81"/>
      <c r="N778" s="19"/>
      <c r="Z778" s="35">
        <f t="shared" si="27"/>
        <v>0</v>
      </c>
      <c r="AB778" s="35">
        <f t="shared" si="28"/>
        <v>1920</v>
      </c>
      <c r="AC778" s="35">
        <f t="shared" si="29"/>
        <v>0</v>
      </c>
      <c r="AD778" s="35">
        <f t="shared" si="30"/>
        <v>0</v>
      </c>
      <c r="AE778" s="35">
        <f t="shared" si="31"/>
        <v>0</v>
      </c>
      <c r="AF778" s="35">
        <f t="shared" si="32"/>
        <v>0</v>
      </c>
      <c r="AG778" s="35">
        <f t="shared" si="33"/>
        <v>0</v>
      </c>
      <c r="AH778" s="35">
        <f t="shared" si="34"/>
        <v>0</v>
      </c>
      <c r="AI778" s="83" t="s">
        <v>67</v>
      </c>
      <c r="AJ778" s="65">
        <f t="shared" si="35"/>
        <v>0</v>
      </c>
      <c r="AK778" s="65">
        <f t="shared" si="36"/>
        <v>0</v>
      </c>
      <c r="AL778" s="65">
        <f t="shared" si="37"/>
        <v>1920</v>
      </c>
      <c r="AN778" s="35">
        <v>21</v>
      </c>
      <c r="AO778" s="35">
        <f t="shared" si="48"/>
        <v>24</v>
      </c>
      <c r="AP778" s="35">
        <f t="shared" si="49"/>
        <v>0</v>
      </c>
      <c r="AQ778" s="85" t="s">
        <v>141</v>
      </c>
      <c r="AV778" s="35">
        <f t="shared" si="40"/>
        <v>1920</v>
      </c>
      <c r="AW778" s="35">
        <f t="shared" si="41"/>
        <v>1920</v>
      </c>
      <c r="AX778" s="35">
        <f t="shared" si="42"/>
        <v>0</v>
      </c>
      <c r="AY778" s="86" t="s">
        <v>1048</v>
      </c>
      <c r="AZ778" s="86" t="s">
        <v>1075</v>
      </c>
      <c r="BA778" s="83" t="s">
        <v>1081</v>
      </c>
      <c r="BC778" s="35">
        <f t="shared" si="43"/>
        <v>1920</v>
      </c>
      <c r="BD778" s="35">
        <f t="shared" si="44"/>
        <v>24</v>
      </c>
      <c r="BE778" s="35">
        <v>0</v>
      </c>
      <c r="BF778" s="35">
        <f>778</f>
        <v>778</v>
      </c>
      <c r="BH778" s="65">
        <f t="shared" si="45"/>
        <v>1920</v>
      </c>
      <c r="BI778" s="65">
        <f t="shared" si="46"/>
        <v>0</v>
      </c>
      <c r="BJ778" s="65">
        <f t="shared" si="47"/>
        <v>1920</v>
      </c>
      <c r="BK778" s="65" t="s">
        <v>1001</v>
      </c>
      <c r="BL778" s="35" t="s">
        <v>119</v>
      </c>
    </row>
    <row r="779" spans="1:64" x14ac:dyDescent="0.2">
      <c r="A779" s="49" t="s">
        <v>508</v>
      </c>
      <c r="B779" s="57" t="s">
        <v>67</v>
      </c>
      <c r="C779" s="57" t="s">
        <v>822</v>
      </c>
      <c r="D779" s="186" t="s">
        <v>986</v>
      </c>
      <c r="E779" s="187"/>
      <c r="F779" s="187"/>
      <c r="G779" s="57" t="s">
        <v>998</v>
      </c>
      <c r="H779" s="65">
        <v>4</v>
      </c>
      <c r="I779" s="73">
        <v>135</v>
      </c>
      <c r="J779" s="65">
        <f t="shared" si="24"/>
        <v>540</v>
      </c>
      <c r="K779" s="65">
        <f t="shared" si="25"/>
        <v>0</v>
      </c>
      <c r="L779" s="65">
        <f t="shared" si="26"/>
        <v>540</v>
      </c>
      <c r="M779" s="81"/>
      <c r="N779" s="19"/>
      <c r="Z779" s="35">
        <f t="shared" si="27"/>
        <v>0</v>
      </c>
      <c r="AB779" s="35">
        <f t="shared" si="28"/>
        <v>540</v>
      </c>
      <c r="AC779" s="35">
        <f t="shared" si="29"/>
        <v>0</v>
      </c>
      <c r="AD779" s="35">
        <f t="shared" si="30"/>
        <v>0</v>
      </c>
      <c r="AE779" s="35">
        <f t="shared" si="31"/>
        <v>0</v>
      </c>
      <c r="AF779" s="35">
        <f t="shared" si="32"/>
        <v>0</v>
      </c>
      <c r="AG779" s="35">
        <f t="shared" si="33"/>
        <v>0</v>
      </c>
      <c r="AH779" s="35">
        <f t="shared" si="34"/>
        <v>0</v>
      </c>
      <c r="AI779" s="83" t="s">
        <v>67</v>
      </c>
      <c r="AJ779" s="65">
        <f t="shared" si="35"/>
        <v>0</v>
      </c>
      <c r="AK779" s="65">
        <f t="shared" si="36"/>
        <v>0</v>
      </c>
      <c r="AL779" s="65">
        <f t="shared" si="37"/>
        <v>540</v>
      </c>
      <c r="AN779" s="35">
        <v>21</v>
      </c>
      <c r="AO779" s="35">
        <f t="shared" si="48"/>
        <v>135</v>
      </c>
      <c r="AP779" s="35">
        <f t="shared" si="49"/>
        <v>0</v>
      </c>
      <c r="AQ779" s="85" t="s">
        <v>141</v>
      </c>
      <c r="AV779" s="35">
        <f t="shared" si="40"/>
        <v>540</v>
      </c>
      <c r="AW779" s="35">
        <f t="shared" si="41"/>
        <v>540</v>
      </c>
      <c r="AX779" s="35">
        <f t="shared" si="42"/>
        <v>0</v>
      </c>
      <c r="AY779" s="86" t="s">
        <v>1048</v>
      </c>
      <c r="AZ779" s="86" t="s">
        <v>1075</v>
      </c>
      <c r="BA779" s="83" t="s">
        <v>1081</v>
      </c>
      <c r="BC779" s="35">
        <f t="shared" si="43"/>
        <v>540</v>
      </c>
      <c r="BD779" s="35">
        <f t="shared" si="44"/>
        <v>135</v>
      </c>
      <c r="BE779" s="35">
        <v>0</v>
      </c>
      <c r="BF779" s="35">
        <f>779</f>
        <v>779</v>
      </c>
      <c r="BH779" s="65">
        <f t="shared" si="45"/>
        <v>540</v>
      </c>
      <c r="BI779" s="65">
        <f t="shared" si="46"/>
        <v>0</v>
      </c>
      <c r="BJ779" s="65">
        <f t="shared" si="47"/>
        <v>540</v>
      </c>
      <c r="BK779" s="65" t="s">
        <v>1001</v>
      </c>
      <c r="BL779" s="35" t="s">
        <v>119</v>
      </c>
    </row>
    <row r="780" spans="1:64" x14ac:dyDescent="0.2">
      <c r="A780" s="47" t="s">
        <v>509</v>
      </c>
      <c r="B780" s="55" t="s">
        <v>67</v>
      </c>
      <c r="C780" s="55" t="s">
        <v>819</v>
      </c>
      <c r="D780" s="178" t="s">
        <v>977</v>
      </c>
      <c r="E780" s="179"/>
      <c r="F780" s="179"/>
      <c r="G780" s="55" t="s">
        <v>998</v>
      </c>
      <c r="H780" s="64">
        <v>4</v>
      </c>
      <c r="I780" s="71">
        <v>112</v>
      </c>
      <c r="J780" s="64">
        <f t="shared" si="24"/>
        <v>448</v>
      </c>
      <c r="K780" s="64">
        <f t="shared" si="25"/>
        <v>0</v>
      </c>
      <c r="L780" s="64">
        <f t="shared" si="26"/>
        <v>448</v>
      </c>
      <c r="M780" s="79"/>
      <c r="N780" s="19"/>
      <c r="Z780" s="35">
        <f t="shared" si="27"/>
        <v>0</v>
      </c>
      <c r="AB780" s="35">
        <f t="shared" si="28"/>
        <v>448</v>
      </c>
      <c r="AC780" s="35">
        <f t="shared" si="29"/>
        <v>0</v>
      </c>
      <c r="AD780" s="35">
        <f t="shared" si="30"/>
        <v>0</v>
      </c>
      <c r="AE780" s="35">
        <f t="shared" si="31"/>
        <v>0</v>
      </c>
      <c r="AF780" s="35">
        <f t="shared" si="32"/>
        <v>0</v>
      </c>
      <c r="AG780" s="35">
        <f t="shared" si="33"/>
        <v>0</v>
      </c>
      <c r="AH780" s="35">
        <f t="shared" si="34"/>
        <v>0</v>
      </c>
      <c r="AI780" s="83" t="s">
        <v>67</v>
      </c>
      <c r="AJ780" s="64">
        <f t="shared" si="35"/>
        <v>0</v>
      </c>
      <c r="AK780" s="64">
        <f t="shared" si="36"/>
        <v>0</v>
      </c>
      <c r="AL780" s="64">
        <f t="shared" si="37"/>
        <v>448</v>
      </c>
      <c r="AN780" s="35">
        <v>21</v>
      </c>
      <c r="AO780" s="35">
        <f t="shared" si="48"/>
        <v>112</v>
      </c>
      <c r="AP780" s="35">
        <f t="shared" si="49"/>
        <v>0</v>
      </c>
      <c r="AQ780" s="84" t="s">
        <v>141</v>
      </c>
      <c r="AV780" s="35">
        <f t="shared" si="40"/>
        <v>448</v>
      </c>
      <c r="AW780" s="35">
        <f t="shared" si="41"/>
        <v>448</v>
      </c>
      <c r="AX780" s="35">
        <f t="shared" si="42"/>
        <v>0</v>
      </c>
      <c r="AY780" s="86" t="s">
        <v>1048</v>
      </c>
      <c r="AZ780" s="86" t="s">
        <v>1075</v>
      </c>
      <c r="BA780" s="83" t="s">
        <v>1081</v>
      </c>
      <c r="BC780" s="35">
        <f t="shared" si="43"/>
        <v>448</v>
      </c>
      <c r="BD780" s="35">
        <f t="shared" si="44"/>
        <v>112.00000000000001</v>
      </c>
      <c r="BE780" s="35">
        <v>0</v>
      </c>
      <c r="BF780" s="35">
        <f>780</f>
        <v>780</v>
      </c>
      <c r="BH780" s="64">
        <f t="shared" si="45"/>
        <v>448</v>
      </c>
      <c r="BI780" s="64">
        <f t="shared" si="46"/>
        <v>0</v>
      </c>
      <c r="BJ780" s="64">
        <f t="shared" si="47"/>
        <v>448</v>
      </c>
      <c r="BK780" s="64" t="s">
        <v>1086</v>
      </c>
      <c r="BL780" s="35" t="s">
        <v>119</v>
      </c>
    </row>
    <row r="781" spans="1:64" x14ac:dyDescent="0.2">
      <c r="A781" s="47" t="s">
        <v>510</v>
      </c>
      <c r="B781" s="55" t="s">
        <v>67</v>
      </c>
      <c r="C781" s="55" t="s">
        <v>823</v>
      </c>
      <c r="D781" s="178" t="s">
        <v>987</v>
      </c>
      <c r="E781" s="179"/>
      <c r="F781" s="179"/>
      <c r="G781" s="55" t="s">
        <v>997</v>
      </c>
      <c r="H781" s="64">
        <v>120</v>
      </c>
      <c r="I781" s="71">
        <v>28</v>
      </c>
      <c r="J781" s="64">
        <f t="shared" si="24"/>
        <v>3360</v>
      </c>
      <c r="K781" s="64">
        <f t="shared" si="25"/>
        <v>0</v>
      </c>
      <c r="L781" s="64">
        <f t="shared" si="26"/>
        <v>3360</v>
      </c>
      <c r="M781" s="79"/>
      <c r="N781" s="19"/>
      <c r="Z781" s="35">
        <f t="shared" si="27"/>
        <v>0</v>
      </c>
      <c r="AB781" s="35">
        <f t="shared" si="28"/>
        <v>3360</v>
      </c>
      <c r="AC781" s="35">
        <f t="shared" si="29"/>
        <v>0</v>
      </c>
      <c r="AD781" s="35">
        <f t="shared" si="30"/>
        <v>0</v>
      </c>
      <c r="AE781" s="35">
        <f t="shared" si="31"/>
        <v>0</v>
      </c>
      <c r="AF781" s="35">
        <f t="shared" si="32"/>
        <v>0</v>
      </c>
      <c r="AG781" s="35">
        <f t="shared" si="33"/>
        <v>0</v>
      </c>
      <c r="AH781" s="35">
        <f t="shared" si="34"/>
        <v>0</v>
      </c>
      <c r="AI781" s="83" t="s">
        <v>67</v>
      </c>
      <c r="AJ781" s="64">
        <f t="shared" si="35"/>
        <v>0</v>
      </c>
      <c r="AK781" s="64">
        <f t="shared" si="36"/>
        <v>0</v>
      </c>
      <c r="AL781" s="64">
        <f t="shared" si="37"/>
        <v>3360</v>
      </c>
      <c r="AN781" s="35">
        <v>21</v>
      </c>
      <c r="AO781" s="35">
        <f t="shared" si="48"/>
        <v>28</v>
      </c>
      <c r="AP781" s="35">
        <f t="shared" si="49"/>
        <v>0</v>
      </c>
      <c r="AQ781" s="84" t="s">
        <v>141</v>
      </c>
      <c r="AV781" s="35">
        <f t="shared" si="40"/>
        <v>3360</v>
      </c>
      <c r="AW781" s="35">
        <f t="shared" si="41"/>
        <v>3360</v>
      </c>
      <c r="AX781" s="35">
        <f t="shared" si="42"/>
        <v>0</v>
      </c>
      <c r="AY781" s="86" t="s">
        <v>1048</v>
      </c>
      <c r="AZ781" s="86" t="s">
        <v>1075</v>
      </c>
      <c r="BA781" s="83" t="s">
        <v>1081</v>
      </c>
      <c r="BC781" s="35">
        <f t="shared" si="43"/>
        <v>3360</v>
      </c>
      <c r="BD781" s="35">
        <f t="shared" si="44"/>
        <v>28.000000000000004</v>
      </c>
      <c r="BE781" s="35">
        <v>0</v>
      </c>
      <c r="BF781" s="35">
        <f>781</f>
        <v>781</v>
      </c>
      <c r="BH781" s="64">
        <f t="shared" si="45"/>
        <v>3360</v>
      </c>
      <c r="BI781" s="64">
        <f t="shared" si="46"/>
        <v>0</v>
      </c>
      <c r="BJ781" s="64">
        <f t="shared" si="47"/>
        <v>3360</v>
      </c>
      <c r="BK781" s="64" t="s">
        <v>1086</v>
      </c>
      <c r="BL781" s="35" t="s">
        <v>119</v>
      </c>
    </row>
    <row r="782" spans="1:64" x14ac:dyDescent="0.2">
      <c r="A782" s="47" t="s">
        <v>511</v>
      </c>
      <c r="B782" s="55" t="s">
        <v>67</v>
      </c>
      <c r="C782" s="55" t="s">
        <v>819</v>
      </c>
      <c r="D782" s="178" t="s">
        <v>988</v>
      </c>
      <c r="E782" s="179"/>
      <c r="F782" s="179"/>
      <c r="G782" s="55" t="s">
        <v>997</v>
      </c>
      <c r="H782" s="64">
        <v>85</v>
      </c>
      <c r="I782" s="71">
        <v>18</v>
      </c>
      <c r="J782" s="64">
        <f t="shared" si="24"/>
        <v>1530</v>
      </c>
      <c r="K782" s="64">
        <f t="shared" si="25"/>
        <v>0</v>
      </c>
      <c r="L782" s="64">
        <f t="shared" si="26"/>
        <v>1530</v>
      </c>
      <c r="M782" s="79"/>
      <c r="N782" s="19"/>
      <c r="Z782" s="35">
        <f t="shared" si="27"/>
        <v>0</v>
      </c>
      <c r="AB782" s="35">
        <f t="shared" si="28"/>
        <v>1530</v>
      </c>
      <c r="AC782" s="35">
        <f t="shared" si="29"/>
        <v>0</v>
      </c>
      <c r="AD782" s="35">
        <f t="shared" si="30"/>
        <v>0</v>
      </c>
      <c r="AE782" s="35">
        <f t="shared" si="31"/>
        <v>0</v>
      </c>
      <c r="AF782" s="35">
        <f t="shared" si="32"/>
        <v>0</v>
      </c>
      <c r="AG782" s="35">
        <f t="shared" si="33"/>
        <v>0</v>
      </c>
      <c r="AH782" s="35">
        <f t="shared" si="34"/>
        <v>0</v>
      </c>
      <c r="AI782" s="83" t="s">
        <v>67</v>
      </c>
      <c r="AJ782" s="64">
        <f t="shared" si="35"/>
        <v>0</v>
      </c>
      <c r="AK782" s="64">
        <f t="shared" si="36"/>
        <v>0</v>
      </c>
      <c r="AL782" s="64">
        <f t="shared" si="37"/>
        <v>1530</v>
      </c>
      <c r="AN782" s="35">
        <v>21</v>
      </c>
      <c r="AO782" s="35">
        <f t="shared" si="48"/>
        <v>18</v>
      </c>
      <c r="AP782" s="35">
        <f t="shared" si="49"/>
        <v>0</v>
      </c>
      <c r="AQ782" s="84" t="s">
        <v>141</v>
      </c>
      <c r="AV782" s="35">
        <f t="shared" si="40"/>
        <v>1530</v>
      </c>
      <c r="AW782" s="35">
        <f t="shared" si="41"/>
        <v>1530</v>
      </c>
      <c r="AX782" s="35">
        <f t="shared" si="42"/>
        <v>0</v>
      </c>
      <c r="AY782" s="86" t="s">
        <v>1048</v>
      </c>
      <c r="AZ782" s="86" t="s">
        <v>1075</v>
      </c>
      <c r="BA782" s="83" t="s">
        <v>1081</v>
      </c>
      <c r="BC782" s="35">
        <f t="shared" si="43"/>
        <v>1530</v>
      </c>
      <c r="BD782" s="35">
        <f t="shared" si="44"/>
        <v>18</v>
      </c>
      <c r="BE782" s="35">
        <v>0</v>
      </c>
      <c r="BF782" s="35">
        <f>782</f>
        <v>782</v>
      </c>
      <c r="BH782" s="64">
        <f t="shared" si="45"/>
        <v>1530</v>
      </c>
      <c r="BI782" s="64">
        <f t="shared" si="46"/>
        <v>0</v>
      </c>
      <c r="BJ782" s="64">
        <f t="shared" si="47"/>
        <v>1530</v>
      </c>
      <c r="BK782" s="64" t="s">
        <v>1086</v>
      </c>
      <c r="BL782" s="35" t="s">
        <v>119</v>
      </c>
    </row>
    <row r="783" spans="1:64" x14ac:dyDescent="0.2">
      <c r="A783" s="47" t="s">
        <v>512</v>
      </c>
      <c r="B783" s="55" t="s">
        <v>67</v>
      </c>
      <c r="C783" s="55" t="s">
        <v>819</v>
      </c>
      <c r="D783" s="178" t="s">
        <v>989</v>
      </c>
      <c r="E783" s="179"/>
      <c r="F783" s="179"/>
      <c r="G783" s="55" t="s">
        <v>998</v>
      </c>
      <c r="H783" s="64">
        <v>4</v>
      </c>
      <c r="I783" s="71">
        <v>2520</v>
      </c>
      <c r="J783" s="64">
        <f t="shared" si="24"/>
        <v>10080</v>
      </c>
      <c r="K783" s="64">
        <f t="shared" si="25"/>
        <v>0</v>
      </c>
      <c r="L783" s="64">
        <f t="shared" si="26"/>
        <v>10080</v>
      </c>
      <c r="M783" s="79"/>
      <c r="N783" s="19"/>
      <c r="Z783" s="35">
        <f t="shared" si="27"/>
        <v>0</v>
      </c>
      <c r="AB783" s="35">
        <f t="shared" si="28"/>
        <v>10080</v>
      </c>
      <c r="AC783" s="35">
        <f t="shared" si="29"/>
        <v>0</v>
      </c>
      <c r="AD783" s="35">
        <f t="shared" si="30"/>
        <v>0</v>
      </c>
      <c r="AE783" s="35">
        <f t="shared" si="31"/>
        <v>0</v>
      </c>
      <c r="AF783" s="35">
        <f t="shared" si="32"/>
        <v>0</v>
      </c>
      <c r="AG783" s="35">
        <f t="shared" si="33"/>
        <v>0</v>
      </c>
      <c r="AH783" s="35">
        <f t="shared" si="34"/>
        <v>0</v>
      </c>
      <c r="AI783" s="83" t="s">
        <v>67</v>
      </c>
      <c r="AJ783" s="64">
        <f t="shared" si="35"/>
        <v>0</v>
      </c>
      <c r="AK783" s="64">
        <f t="shared" si="36"/>
        <v>0</v>
      </c>
      <c r="AL783" s="64">
        <f t="shared" si="37"/>
        <v>10080</v>
      </c>
      <c r="AN783" s="35">
        <v>21</v>
      </c>
      <c r="AO783" s="35">
        <f t="shared" si="48"/>
        <v>2520</v>
      </c>
      <c r="AP783" s="35">
        <f t="shared" si="49"/>
        <v>0</v>
      </c>
      <c r="AQ783" s="84" t="s">
        <v>141</v>
      </c>
      <c r="AV783" s="35">
        <f t="shared" si="40"/>
        <v>10080</v>
      </c>
      <c r="AW783" s="35">
        <f t="shared" si="41"/>
        <v>10080</v>
      </c>
      <c r="AX783" s="35">
        <f t="shared" si="42"/>
        <v>0</v>
      </c>
      <c r="AY783" s="86" t="s">
        <v>1048</v>
      </c>
      <c r="AZ783" s="86" t="s">
        <v>1075</v>
      </c>
      <c r="BA783" s="83" t="s">
        <v>1081</v>
      </c>
      <c r="BC783" s="35">
        <f t="shared" si="43"/>
        <v>10080</v>
      </c>
      <c r="BD783" s="35">
        <f t="shared" si="44"/>
        <v>2520</v>
      </c>
      <c r="BE783" s="35">
        <v>0</v>
      </c>
      <c r="BF783" s="35">
        <f>783</f>
        <v>783</v>
      </c>
      <c r="BH783" s="64">
        <f t="shared" si="45"/>
        <v>10080</v>
      </c>
      <c r="BI783" s="64">
        <f t="shared" si="46"/>
        <v>0</v>
      </c>
      <c r="BJ783" s="64">
        <f t="shared" si="47"/>
        <v>10080</v>
      </c>
      <c r="BK783" s="64" t="s">
        <v>1086</v>
      </c>
      <c r="BL783" s="35" t="s">
        <v>119</v>
      </c>
    </row>
    <row r="784" spans="1:64" x14ac:dyDescent="0.2">
      <c r="A784" s="46"/>
      <c r="B784" s="54" t="s">
        <v>67</v>
      </c>
      <c r="C784" s="54" t="s">
        <v>120</v>
      </c>
      <c r="D784" s="176" t="s">
        <v>138</v>
      </c>
      <c r="E784" s="177"/>
      <c r="F784" s="177"/>
      <c r="G784" s="61" t="s">
        <v>60</v>
      </c>
      <c r="H784" s="61" t="s">
        <v>60</v>
      </c>
      <c r="I784" s="70" t="s">
        <v>60</v>
      </c>
      <c r="J784" s="89">
        <f>SUM(J785:J786)</f>
        <v>0</v>
      </c>
      <c r="K784" s="89">
        <f>SUM(K785:K786)</f>
        <v>2440.2399999999998</v>
      </c>
      <c r="L784" s="89">
        <f>SUM(L785:L786)</f>
        <v>2440.2399999999998</v>
      </c>
      <c r="M784" s="78"/>
      <c r="N784" s="19"/>
      <c r="AI784" s="83" t="s">
        <v>67</v>
      </c>
      <c r="AS784" s="89">
        <f>SUM(AJ785:AJ786)</f>
        <v>0</v>
      </c>
      <c r="AT784" s="89">
        <f>SUM(AK785:AK786)</f>
        <v>0</v>
      </c>
      <c r="AU784" s="89">
        <f>SUM(AL785:AL786)</f>
        <v>2440.2399999999998</v>
      </c>
    </row>
    <row r="785" spans="1:64" x14ac:dyDescent="0.2">
      <c r="A785" s="47" t="s">
        <v>513</v>
      </c>
      <c r="B785" s="55" t="s">
        <v>67</v>
      </c>
      <c r="C785" s="55" t="s">
        <v>824</v>
      </c>
      <c r="D785" s="178" t="s">
        <v>990</v>
      </c>
      <c r="E785" s="179"/>
      <c r="F785" s="179"/>
      <c r="G785" s="55" t="s">
        <v>998</v>
      </c>
      <c r="H785" s="64">
        <v>4</v>
      </c>
      <c r="I785" s="71">
        <v>91.06</v>
      </c>
      <c r="J785" s="64">
        <f>H785*AO785</f>
        <v>0</v>
      </c>
      <c r="K785" s="64">
        <f>H785*AP785</f>
        <v>364.24</v>
      </c>
      <c r="L785" s="64">
        <f>H785*I785</f>
        <v>364.24</v>
      </c>
      <c r="M785" s="79"/>
      <c r="N785" s="19"/>
      <c r="Z785" s="35">
        <f>IF(AQ785="5",BJ785,0)</f>
        <v>0</v>
      </c>
      <c r="AB785" s="35">
        <f>IF(AQ785="1",BH785,0)</f>
        <v>0</v>
      </c>
      <c r="AC785" s="35">
        <f>IF(AQ785="1",BI785,0)</f>
        <v>0</v>
      </c>
      <c r="AD785" s="35">
        <f>IF(AQ785="7",BH785,0)</f>
        <v>0</v>
      </c>
      <c r="AE785" s="35">
        <f>IF(AQ785="7",BI785,0)</f>
        <v>0</v>
      </c>
      <c r="AF785" s="35">
        <f>IF(AQ785="2",BH785,0)</f>
        <v>0</v>
      </c>
      <c r="AG785" s="35">
        <f>IF(AQ785="2",BI785,0)</f>
        <v>364.24</v>
      </c>
      <c r="AH785" s="35">
        <f>IF(AQ785="0",BJ785,0)</f>
        <v>0</v>
      </c>
      <c r="AI785" s="83" t="s">
        <v>67</v>
      </c>
      <c r="AJ785" s="64">
        <f>IF(AN785=0,L785,0)</f>
        <v>0</v>
      </c>
      <c r="AK785" s="64">
        <f>IF(AN785=15,L785,0)</f>
        <v>0</v>
      </c>
      <c r="AL785" s="64">
        <f>IF(AN785=21,L785,0)</f>
        <v>364.24</v>
      </c>
      <c r="AN785" s="35">
        <v>21</v>
      </c>
      <c r="AO785" s="35">
        <f>I785*0</f>
        <v>0</v>
      </c>
      <c r="AP785" s="35">
        <f>I785*(1-0)</f>
        <v>91.06</v>
      </c>
      <c r="AQ785" s="84" t="s">
        <v>142</v>
      </c>
      <c r="AV785" s="35">
        <f>AW785+AX785</f>
        <v>364.24</v>
      </c>
      <c r="AW785" s="35">
        <f>H785*AO785</f>
        <v>0</v>
      </c>
      <c r="AX785" s="35">
        <f>H785*AP785</f>
        <v>364.24</v>
      </c>
      <c r="AY785" s="86" t="s">
        <v>1049</v>
      </c>
      <c r="AZ785" s="86" t="s">
        <v>1075</v>
      </c>
      <c r="BA785" s="83" t="s">
        <v>1081</v>
      </c>
      <c r="BC785" s="35">
        <f>AW785+AX785</f>
        <v>364.24</v>
      </c>
      <c r="BD785" s="35">
        <f>I785/(100-BE785)*100</f>
        <v>91.06</v>
      </c>
      <c r="BE785" s="35">
        <v>0</v>
      </c>
      <c r="BF785" s="35">
        <f>785</f>
        <v>785</v>
      </c>
      <c r="BH785" s="64">
        <f>H785*AO785</f>
        <v>0</v>
      </c>
      <c r="BI785" s="64">
        <f>H785*AP785</f>
        <v>364.24</v>
      </c>
      <c r="BJ785" s="64">
        <f>H785*I785</f>
        <v>364.24</v>
      </c>
      <c r="BK785" s="64" t="s">
        <v>1086</v>
      </c>
      <c r="BL785" s="35" t="s">
        <v>120</v>
      </c>
    </row>
    <row r="786" spans="1:64" x14ac:dyDescent="0.2">
      <c r="A786" s="50" t="s">
        <v>58</v>
      </c>
      <c r="B786" s="58" t="s">
        <v>67</v>
      </c>
      <c r="C786" s="58" t="s">
        <v>825</v>
      </c>
      <c r="D786" s="188" t="s">
        <v>991</v>
      </c>
      <c r="E786" s="189"/>
      <c r="F786" s="189"/>
      <c r="G786" s="58" t="s">
        <v>998</v>
      </c>
      <c r="H786" s="66">
        <v>12</v>
      </c>
      <c r="I786" s="74">
        <v>173</v>
      </c>
      <c r="J786" s="66">
        <f>H786*AO786</f>
        <v>0</v>
      </c>
      <c r="K786" s="66">
        <f>H786*AP786</f>
        <v>2076</v>
      </c>
      <c r="L786" s="66">
        <f>H786*I786</f>
        <v>2076</v>
      </c>
      <c r="M786" s="82"/>
      <c r="N786" s="19"/>
      <c r="Z786" s="35">
        <f>IF(AQ786="5",BJ786,0)</f>
        <v>0</v>
      </c>
      <c r="AB786" s="35">
        <f>IF(AQ786="1",BH786,0)</f>
        <v>0</v>
      </c>
      <c r="AC786" s="35">
        <f>IF(AQ786="1",BI786,0)</f>
        <v>0</v>
      </c>
      <c r="AD786" s="35">
        <f>IF(AQ786="7",BH786,0)</f>
        <v>0</v>
      </c>
      <c r="AE786" s="35">
        <f>IF(AQ786="7",BI786,0)</f>
        <v>0</v>
      </c>
      <c r="AF786" s="35">
        <f>IF(AQ786="2",BH786,0)</f>
        <v>0</v>
      </c>
      <c r="AG786" s="35">
        <f>IF(AQ786="2",BI786,0)</f>
        <v>2076</v>
      </c>
      <c r="AH786" s="35">
        <f>IF(AQ786="0",BJ786,0)</f>
        <v>0</v>
      </c>
      <c r="AI786" s="83" t="s">
        <v>67</v>
      </c>
      <c r="AJ786" s="64">
        <f>IF(AN786=0,L786,0)</f>
        <v>0</v>
      </c>
      <c r="AK786" s="64">
        <f>IF(AN786=15,L786,0)</f>
        <v>0</v>
      </c>
      <c r="AL786" s="64">
        <f>IF(AN786=21,L786,0)</f>
        <v>2076</v>
      </c>
      <c r="AN786" s="35">
        <v>21</v>
      </c>
      <c r="AO786" s="35">
        <f>I786*0</f>
        <v>0</v>
      </c>
      <c r="AP786" s="35">
        <f>I786*(1-0)</f>
        <v>173</v>
      </c>
      <c r="AQ786" s="84" t="s">
        <v>142</v>
      </c>
      <c r="AV786" s="35">
        <f>AW786+AX786</f>
        <v>2076</v>
      </c>
      <c r="AW786" s="35">
        <f>H786*AO786</f>
        <v>0</v>
      </c>
      <c r="AX786" s="35">
        <f>H786*AP786</f>
        <v>2076</v>
      </c>
      <c r="AY786" s="86" t="s">
        <v>1049</v>
      </c>
      <c r="AZ786" s="86" t="s">
        <v>1075</v>
      </c>
      <c r="BA786" s="83" t="s">
        <v>1081</v>
      </c>
      <c r="BC786" s="35">
        <f>AW786+AX786</f>
        <v>2076</v>
      </c>
      <c r="BD786" s="35">
        <f>I786/(100-BE786)*100</f>
        <v>173</v>
      </c>
      <c r="BE786" s="35">
        <v>0</v>
      </c>
      <c r="BF786" s="35">
        <f>786</f>
        <v>786</v>
      </c>
      <c r="BH786" s="64">
        <f>H786*AO786</f>
        <v>0</v>
      </c>
      <c r="BI786" s="64">
        <f>H786*AP786</f>
        <v>2076</v>
      </c>
      <c r="BJ786" s="64">
        <f>H786*I786</f>
        <v>2076</v>
      </c>
      <c r="BK786" s="64" t="s">
        <v>1086</v>
      </c>
      <c r="BL786" s="35" t="s">
        <v>120</v>
      </c>
    </row>
    <row r="787" spans="1:64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151" t="s">
        <v>79</v>
      </c>
      <c r="K787" s="113"/>
      <c r="L787" s="40">
        <f>L13+L17+L23+L26+L36+L39+L41+L43+L46+L48+L54+L56+L64+L71+L82+L93+L118+L223+L239+L246+L257+L266+L293+L398+L414+L421+L432+L441+L468+L573+L589+L596+L607+L616+L643+L748+L764+L784</f>
        <v>1738867.2113999997</v>
      </c>
      <c r="M787" s="5"/>
    </row>
    <row r="788" spans="1:64" ht="11.25" customHeight="1" x14ac:dyDescent="0.2">
      <c r="A788" s="27" t="s">
        <v>18</v>
      </c>
    </row>
    <row r="789" spans="1:64" x14ac:dyDescent="0.2">
      <c r="A789" s="120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</row>
  </sheetData>
  <sheetProtection sheet="1" objects="1" scenarios="1"/>
  <mergeCells count="805">
    <mergeCell ref="D783:F783"/>
    <mergeCell ref="D784:F784"/>
    <mergeCell ref="D785:F785"/>
    <mergeCell ref="D786:F786"/>
    <mergeCell ref="J787:K787"/>
    <mergeCell ref="A789:M789"/>
    <mergeCell ref="D774:F774"/>
    <mergeCell ref="D775:F775"/>
    <mergeCell ref="D776:F776"/>
    <mergeCell ref="D777:F777"/>
    <mergeCell ref="D778:F778"/>
    <mergeCell ref="D779:F779"/>
    <mergeCell ref="D780:F780"/>
    <mergeCell ref="D781:F781"/>
    <mergeCell ref="D782:F782"/>
    <mergeCell ref="D765:F765"/>
    <mergeCell ref="D766:F766"/>
    <mergeCell ref="D767:F767"/>
    <mergeCell ref="D768:F768"/>
    <mergeCell ref="D769:F769"/>
    <mergeCell ref="D770:F770"/>
    <mergeCell ref="D771:F771"/>
    <mergeCell ref="D772:F772"/>
    <mergeCell ref="D773:F773"/>
    <mergeCell ref="D756:M756"/>
    <mergeCell ref="D757:F757"/>
    <mergeCell ref="D758:M758"/>
    <mergeCell ref="D759:F759"/>
    <mergeCell ref="D760:M760"/>
    <mergeCell ref="D761:F761"/>
    <mergeCell ref="D762:M762"/>
    <mergeCell ref="D763:F763"/>
    <mergeCell ref="D764:F764"/>
    <mergeCell ref="D747:M747"/>
    <mergeCell ref="D748:F748"/>
    <mergeCell ref="D749:F749"/>
    <mergeCell ref="D750:M750"/>
    <mergeCell ref="D751:F751"/>
    <mergeCell ref="D752:M752"/>
    <mergeCell ref="D753:F753"/>
    <mergeCell ref="D754:M754"/>
    <mergeCell ref="D755:F755"/>
    <mergeCell ref="D738:F738"/>
    <mergeCell ref="D739:M739"/>
    <mergeCell ref="D740:F740"/>
    <mergeCell ref="D741:M741"/>
    <mergeCell ref="D742:F742"/>
    <mergeCell ref="D743:M743"/>
    <mergeCell ref="D744:F744"/>
    <mergeCell ref="D745:M745"/>
    <mergeCell ref="D746:F746"/>
    <mergeCell ref="D729:M729"/>
    <mergeCell ref="D730:F730"/>
    <mergeCell ref="D731:M731"/>
    <mergeCell ref="D732:F732"/>
    <mergeCell ref="D733:M733"/>
    <mergeCell ref="D734:F734"/>
    <mergeCell ref="D735:M735"/>
    <mergeCell ref="D736:F736"/>
    <mergeCell ref="D737:M737"/>
    <mergeCell ref="D720:F720"/>
    <mergeCell ref="D721:M721"/>
    <mergeCell ref="D722:F722"/>
    <mergeCell ref="D723:M723"/>
    <mergeCell ref="D724:F724"/>
    <mergeCell ref="D725:M725"/>
    <mergeCell ref="D726:F726"/>
    <mergeCell ref="D727:M727"/>
    <mergeCell ref="D728:F728"/>
    <mergeCell ref="D711:M711"/>
    <mergeCell ref="D712:F712"/>
    <mergeCell ref="D713:M713"/>
    <mergeCell ref="D714:F714"/>
    <mergeCell ref="D715:M715"/>
    <mergeCell ref="D716:F716"/>
    <mergeCell ref="D717:M717"/>
    <mergeCell ref="D718:F718"/>
    <mergeCell ref="D719:M719"/>
    <mergeCell ref="D702:F702"/>
    <mergeCell ref="D703:M703"/>
    <mergeCell ref="D704:F704"/>
    <mergeCell ref="D705:M705"/>
    <mergeCell ref="D706:F706"/>
    <mergeCell ref="D707:M707"/>
    <mergeCell ref="D708:F708"/>
    <mergeCell ref="D709:M709"/>
    <mergeCell ref="D710:F710"/>
    <mergeCell ref="D693:M693"/>
    <mergeCell ref="D694:F694"/>
    <mergeCell ref="D695:M695"/>
    <mergeCell ref="D696:F696"/>
    <mergeCell ref="D697:M697"/>
    <mergeCell ref="D698:F698"/>
    <mergeCell ref="D699:M699"/>
    <mergeCell ref="D700:F700"/>
    <mergeCell ref="D701:M701"/>
    <mergeCell ref="D684:F684"/>
    <mergeCell ref="D685:M685"/>
    <mergeCell ref="D686:F686"/>
    <mergeCell ref="D687:M687"/>
    <mergeCell ref="D688:F688"/>
    <mergeCell ref="D689:M689"/>
    <mergeCell ref="D690:F690"/>
    <mergeCell ref="D691:M691"/>
    <mergeCell ref="D692:F692"/>
    <mergeCell ref="D675:M675"/>
    <mergeCell ref="D676:F676"/>
    <mergeCell ref="D677:M677"/>
    <mergeCell ref="D678:F678"/>
    <mergeCell ref="D679:M679"/>
    <mergeCell ref="D680:F680"/>
    <mergeCell ref="D681:M681"/>
    <mergeCell ref="D682:F682"/>
    <mergeCell ref="D683:M683"/>
    <mergeCell ref="D666:F666"/>
    <mergeCell ref="D667:M667"/>
    <mergeCell ref="D668:F668"/>
    <mergeCell ref="D669:M669"/>
    <mergeCell ref="D670:F670"/>
    <mergeCell ref="D671:M671"/>
    <mergeCell ref="D672:F672"/>
    <mergeCell ref="D673:M673"/>
    <mergeCell ref="D674:F674"/>
    <mergeCell ref="D657:M657"/>
    <mergeCell ref="D658:F658"/>
    <mergeCell ref="D659:M659"/>
    <mergeCell ref="D660:F660"/>
    <mergeCell ref="D661:M661"/>
    <mergeCell ref="D662:F662"/>
    <mergeCell ref="D663:M663"/>
    <mergeCell ref="D664:F664"/>
    <mergeCell ref="D665:M665"/>
    <mergeCell ref="D648:F648"/>
    <mergeCell ref="D649:M649"/>
    <mergeCell ref="D650:F650"/>
    <mergeCell ref="D651:M651"/>
    <mergeCell ref="D652:F652"/>
    <mergeCell ref="D653:M653"/>
    <mergeCell ref="D654:F654"/>
    <mergeCell ref="D655:M655"/>
    <mergeCell ref="D656:F656"/>
    <mergeCell ref="D639:F639"/>
    <mergeCell ref="D640:M640"/>
    <mergeCell ref="D641:F641"/>
    <mergeCell ref="D642:M642"/>
    <mergeCell ref="D643:F643"/>
    <mergeCell ref="D644:F644"/>
    <mergeCell ref="D645:M645"/>
    <mergeCell ref="D646:F646"/>
    <mergeCell ref="D647:M647"/>
    <mergeCell ref="D630:M630"/>
    <mergeCell ref="D631:F631"/>
    <mergeCell ref="D632:M632"/>
    <mergeCell ref="D633:F633"/>
    <mergeCell ref="D634:M634"/>
    <mergeCell ref="D635:F635"/>
    <mergeCell ref="D636:M636"/>
    <mergeCell ref="D637:F637"/>
    <mergeCell ref="D638:M638"/>
    <mergeCell ref="D621:F621"/>
    <mergeCell ref="D622:M622"/>
    <mergeCell ref="D623:F623"/>
    <mergeCell ref="D624:M624"/>
    <mergeCell ref="D625:F625"/>
    <mergeCell ref="D626:M626"/>
    <mergeCell ref="D627:F627"/>
    <mergeCell ref="D628:M628"/>
    <mergeCell ref="D629:F629"/>
    <mergeCell ref="D612:F612"/>
    <mergeCell ref="D613:M613"/>
    <mergeCell ref="D614:F614"/>
    <mergeCell ref="D615:M615"/>
    <mergeCell ref="D616:F616"/>
    <mergeCell ref="D617:F617"/>
    <mergeCell ref="D618:M618"/>
    <mergeCell ref="D619:F619"/>
    <mergeCell ref="D620:M620"/>
    <mergeCell ref="D603:F603"/>
    <mergeCell ref="D604:M604"/>
    <mergeCell ref="D605:F605"/>
    <mergeCell ref="D606:M606"/>
    <mergeCell ref="D607:F607"/>
    <mergeCell ref="D608:F608"/>
    <mergeCell ref="D609:M609"/>
    <mergeCell ref="D610:F610"/>
    <mergeCell ref="D611:M611"/>
    <mergeCell ref="D594:F594"/>
    <mergeCell ref="D595:M595"/>
    <mergeCell ref="D596:F596"/>
    <mergeCell ref="D597:F597"/>
    <mergeCell ref="D598:M598"/>
    <mergeCell ref="D599:F599"/>
    <mergeCell ref="D600:M600"/>
    <mergeCell ref="D601:F601"/>
    <mergeCell ref="D602:M602"/>
    <mergeCell ref="D585:M585"/>
    <mergeCell ref="D586:F586"/>
    <mergeCell ref="D587:M587"/>
    <mergeCell ref="D588:F588"/>
    <mergeCell ref="D589:F589"/>
    <mergeCell ref="D590:F590"/>
    <mergeCell ref="D591:M591"/>
    <mergeCell ref="D592:F592"/>
    <mergeCell ref="D593:M593"/>
    <mergeCell ref="D576:F576"/>
    <mergeCell ref="D577:M577"/>
    <mergeCell ref="D578:F578"/>
    <mergeCell ref="D579:M579"/>
    <mergeCell ref="D580:F580"/>
    <mergeCell ref="D581:M581"/>
    <mergeCell ref="D582:F582"/>
    <mergeCell ref="D583:M583"/>
    <mergeCell ref="D584:F584"/>
    <mergeCell ref="D567:F567"/>
    <mergeCell ref="D568:M568"/>
    <mergeCell ref="D569:F569"/>
    <mergeCell ref="D570:M570"/>
    <mergeCell ref="D571:F571"/>
    <mergeCell ref="D572:M572"/>
    <mergeCell ref="D573:F573"/>
    <mergeCell ref="D574:F574"/>
    <mergeCell ref="D575:M575"/>
    <mergeCell ref="D558:M558"/>
    <mergeCell ref="D559:F559"/>
    <mergeCell ref="D560:M560"/>
    <mergeCell ref="D561:F561"/>
    <mergeCell ref="D562:M562"/>
    <mergeCell ref="D563:F563"/>
    <mergeCell ref="D564:M564"/>
    <mergeCell ref="D565:F565"/>
    <mergeCell ref="D566:M566"/>
    <mergeCell ref="D549:F549"/>
    <mergeCell ref="D550:M550"/>
    <mergeCell ref="D551:F551"/>
    <mergeCell ref="D552:M552"/>
    <mergeCell ref="D553:F553"/>
    <mergeCell ref="D554:M554"/>
    <mergeCell ref="D555:F555"/>
    <mergeCell ref="D556:M556"/>
    <mergeCell ref="D557:F557"/>
    <mergeCell ref="D540:M540"/>
    <mergeCell ref="D541:F541"/>
    <mergeCell ref="D542:M542"/>
    <mergeCell ref="D543:F543"/>
    <mergeCell ref="D544:M544"/>
    <mergeCell ref="D545:F545"/>
    <mergeCell ref="D546:M546"/>
    <mergeCell ref="D547:F547"/>
    <mergeCell ref="D548:M548"/>
    <mergeCell ref="D531:F531"/>
    <mergeCell ref="D532:M532"/>
    <mergeCell ref="D533:F533"/>
    <mergeCell ref="D534:M534"/>
    <mergeCell ref="D535:F535"/>
    <mergeCell ref="D536:M536"/>
    <mergeCell ref="D537:F537"/>
    <mergeCell ref="D538:M538"/>
    <mergeCell ref="D539:F539"/>
    <mergeCell ref="D522:M522"/>
    <mergeCell ref="D523:F523"/>
    <mergeCell ref="D524:M524"/>
    <mergeCell ref="D525:F525"/>
    <mergeCell ref="D526:M526"/>
    <mergeCell ref="D527:F527"/>
    <mergeCell ref="D528:M528"/>
    <mergeCell ref="D529:F529"/>
    <mergeCell ref="D530:M530"/>
    <mergeCell ref="D513:F513"/>
    <mergeCell ref="D514:M514"/>
    <mergeCell ref="D515:F515"/>
    <mergeCell ref="D516:M516"/>
    <mergeCell ref="D517:F517"/>
    <mergeCell ref="D518:M518"/>
    <mergeCell ref="D519:F519"/>
    <mergeCell ref="D520:M520"/>
    <mergeCell ref="D521:F521"/>
    <mergeCell ref="D504:M504"/>
    <mergeCell ref="D505:F505"/>
    <mergeCell ref="D506:M506"/>
    <mergeCell ref="D507:F507"/>
    <mergeCell ref="D508:M508"/>
    <mergeCell ref="D509:F509"/>
    <mergeCell ref="D510:M510"/>
    <mergeCell ref="D511:F511"/>
    <mergeCell ref="D512:M512"/>
    <mergeCell ref="D495:F495"/>
    <mergeCell ref="D496:M496"/>
    <mergeCell ref="D497:F497"/>
    <mergeCell ref="D498:M498"/>
    <mergeCell ref="D499:F499"/>
    <mergeCell ref="D500:M500"/>
    <mergeCell ref="D501:F501"/>
    <mergeCell ref="D502:M502"/>
    <mergeCell ref="D503:F503"/>
    <mergeCell ref="D486:M486"/>
    <mergeCell ref="D487:F487"/>
    <mergeCell ref="D488:M488"/>
    <mergeCell ref="D489:F489"/>
    <mergeCell ref="D490:M490"/>
    <mergeCell ref="D491:F491"/>
    <mergeCell ref="D492:M492"/>
    <mergeCell ref="D493:F493"/>
    <mergeCell ref="D494:M494"/>
    <mergeCell ref="D477:F477"/>
    <mergeCell ref="D478:M478"/>
    <mergeCell ref="D479:F479"/>
    <mergeCell ref="D480:M480"/>
    <mergeCell ref="D481:F481"/>
    <mergeCell ref="D482:M482"/>
    <mergeCell ref="D483:F483"/>
    <mergeCell ref="D484:M484"/>
    <mergeCell ref="D485:F485"/>
    <mergeCell ref="D468:F468"/>
    <mergeCell ref="D469:F469"/>
    <mergeCell ref="D470:M470"/>
    <mergeCell ref="D471:F471"/>
    <mergeCell ref="D472:M472"/>
    <mergeCell ref="D473:F473"/>
    <mergeCell ref="D474:M474"/>
    <mergeCell ref="D475:F475"/>
    <mergeCell ref="D476:M476"/>
    <mergeCell ref="D459:M459"/>
    <mergeCell ref="D460:F460"/>
    <mergeCell ref="D461:M461"/>
    <mergeCell ref="D462:F462"/>
    <mergeCell ref="D463:M463"/>
    <mergeCell ref="D464:F464"/>
    <mergeCell ref="D465:M465"/>
    <mergeCell ref="D466:F466"/>
    <mergeCell ref="D467:M467"/>
    <mergeCell ref="D450:F450"/>
    <mergeCell ref="D451:M451"/>
    <mergeCell ref="D452:F452"/>
    <mergeCell ref="D453:M453"/>
    <mergeCell ref="D454:F454"/>
    <mergeCell ref="D455:M455"/>
    <mergeCell ref="D456:F456"/>
    <mergeCell ref="D457:M457"/>
    <mergeCell ref="D458:F458"/>
    <mergeCell ref="D441:F441"/>
    <mergeCell ref="D442:F442"/>
    <mergeCell ref="D443:M443"/>
    <mergeCell ref="D444:F444"/>
    <mergeCell ref="D445:M445"/>
    <mergeCell ref="D446:F446"/>
    <mergeCell ref="D447:M447"/>
    <mergeCell ref="D448:F448"/>
    <mergeCell ref="D449:M449"/>
    <mergeCell ref="D432:F432"/>
    <mergeCell ref="D433:F433"/>
    <mergeCell ref="D434:M434"/>
    <mergeCell ref="D435:F435"/>
    <mergeCell ref="D436:M436"/>
    <mergeCell ref="D437:F437"/>
    <mergeCell ref="D438:M438"/>
    <mergeCell ref="D439:F439"/>
    <mergeCell ref="D440:M440"/>
    <mergeCell ref="D423:M423"/>
    <mergeCell ref="D424:F424"/>
    <mergeCell ref="D425:M425"/>
    <mergeCell ref="D426:F426"/>
    <mergeCell ref="D427:M427"/>
    <mergeCell ref="D428:F428"/>
    <mergeCell ref="D429:M429"/>
    <mergeCell ref="D430:F430"/>
    <mergeCell ref="D431:M431"/>
    <mergeCell ref="D414:F414"/>
    <mergeCell ref="D415:F415"/>
    <mergeCell ref="D416:M416"/>
    <mergeCell ref="D417:F417"/>
    <mergeCell ref="D418:M418"/>
    <mergeCell ref="D419:F419"/>
    <mergeCell ref="D420:M420"/>
    <mergeCell ref="D421:F421"/>
    <mergeCell ref="D422:F422"/>
    <mergeCell ref="D405:F405"/>
    <mergeCell ref="D406:M406"/>
    <mergeCell ref="D407:F407"/>
    <mergeCell ref="D408:M408"/>
    <mergeCell ref="D409:F409"/>
    <mergeCell ref="D410:M410"/>
    <mergeCell ref="D411:F411"/>
    <mergeCell ref="D412:M412"/>
    <mergeCell ref="D413:F413"/>
    <mergeCell ref="D396:F396"/>
    <mergeCell ref="D397:M397"/>
    <mergeCell ref="D398:F398"/>
    <mergeCell ref="D399:F399"/>
    <mergeCell ref="D400:M400"/>
    <mergeCell ref="D401:F401"/>
    <mergeCell ref="D402:M402"/>
    <mergeCell ref="D403:F403"/>
    <mergeCell ref="D404:M404"/>
    <mergeCell ref="D387:M387"/>
    <mergeCell ref="D388:F388"/>
    <mergeCell ref="D389:M389"/>
    <mergeCell ref="D390:F390"/>
    <mergeCell ref="D391:M391"/>
    <mergeCell ref="D392:F392"/>
    <mergeCell ref="D393:M393"/>
    <mergeCell ref="D394:F394"/>
    <mergeCell ref="D395:M395"/>
    <mergeCell ref="D378:F378"/>
    <mergeCell ref="D379:M379"/>
    <mergeCell ref="D380:F380"/>
    <mergeCell ref="D381:M381"/>
    <mergeCell ref="D382:F382"/>
    <mergeCell ref="D383:M383"/>
    <mergeCell ref="D384:F384"/>
    <mergeCell ref="D385:M385"/>
    <mergeCell ref="D386:F386"/>
    <mergeCell ref="D369:M369"/>
    <mergeCell ref="D370:F370"/>
    <mergeCell ref="D371:M371"/>
    <mergeCell ref="D372:F372"/>
    <mergeCell ref="D373:M373"/>
    <mergeCell ref="D374:F374"/>
    <mergeCell ref="D375:M375"/>
    <mergeCell ref="D376:F376"/>
    <mergeCell ref="D377:M377"/>
    <mergeCell ref="D360:F360"/>
    <mergeCell ref="D361:M361"/>
    <mergeCell ref="D362:F362"/>
    <mergeCell ref="D363:M363"/>
    <mergeCell ref="D364:F364"/>
    <mergeCell ref="D365:M365"/>
    <mergeCell ref="D366:F366"/>
    <mergeCell ref="D367:M367"/>
    <mergeCell ref="D368:F368"/>
    <mergeCell ref="D351:M351"/>
    <mergeCell ref="D352:F352"/>
    <mergeCell ref="D353:M353"/>
    <mergeCell ref="D354:F354"/>
    <mergeCell ref="D355:M355"/>
    <mergeCell ref="D356:F356"/>
    <mergeCell ref="D357:M357"/>
    <mergeCell ref="D358:F358"/>
    <mergeCell ref="D359:M359"/>
    <mergeCell ref="D342:F342"/>
    <mergeCell ref="D343:M343"/>
    <mergeCell ref="D344:F344"/>
    <mergeCell ref="D345:M345"/>
    <mergeCell ref="D346:F346"/>
    <mergeCell ref="D347:M347"/>
    <mergeCell ref="D348:F348"/>
    <mergeCell ref="D349:M349"/>
    <mergeCell ref="D350:F350"/>
    <mergeCell ref="D333:M333"/>
    <mergeCell ref="D334:F334"/>
    <mergeCell ref="D335:M335"/>
    <mergeCell ref="D336:F336"/>
    <mergeCell ref="D337:M337"/>
    <mergeCell ref="D338:F338"/>
    <mergeCell ref="D339:M339"/>
    <mergeCell ref="D340:F340"/>
    <mergeCell ref="D341:M341"/>
    <mergeCell ref="D324:F324"/>
    <mergeCell ref="D325:M325"/>
    <mergeCell ref="D326:F326"/>
    <mergeCell ref="D327:M327"/>
    <mergeCell ref="D328:F328"/>
    <mergeCell ref="D329:M329"/>
    <mergeCell ref="D330:F330"/>
    <mergeCell ref="D331:M331"/>
    <mergeCell ref="D332:F332"/>
    <mergeCell ref="D315:M315"/>
    <mergeCell ref="D316:F316"/>
    <mergeCell ref="D317:M317"/>
    <mergeCell ref="D318:F318"/>
    <mergeCell ref="D319:M319"/>
    <mergeCell ref="D320:F320"/>
    <mergeCell ref="D321:M321"/>
    <mergeCell ref="D322:F322"/>
    <mergeCell ref="D323:M323"/>
    <mergeCell ref="D306:F306"/>
    <mergeCell ref="D307:M307"/>
    <mergeCell ref="D308:F308"/>
    <mergeCell ref="D309:M309"/>
    <mergeCell ref="D310:F310"/>
    <mergeCell ref="D311:M311"/>
    <mergeCell ref="D312:F312"/>
    <mergeCell ref="D313:M313"/>
    <mergeCell ref="D314:F314"/>
    <mergeCell ref="D297:M297"/>
    <mergeCell ref="D298:F298"/>
    <mergeCell ref="D299:M299"/>
    <mergeCell ref="D300:F300"/>
    <mergeCell ref="D301:M301"/>
    <mergeCell ref="D302:F302"/>
    <mergeCell ref="D303:M303"/>
    <mergeCell ref="D304:F304"/>
    <mergeCell ref="D305:M305"/>
    <mergeCell ref="D288:M288"/>
    <mergeCell ref="D289:F289"/>
    <mergeCell ref="D290:M290"/>
    <mergeCell ref="D291:F291"/>
    <mergeCell ref="D292:M292"/>
    <mergeCell ref="D293:F293"/>
    <mergeCell ref="D294:F294"/>
    <mergeCell ref="D295:M295"/>
    <mergeCell ref="D296:F296"/>
    <mergeCell ref="D279:F279"/>
    <mergeCell ref="D280:M280"/>
    <mergeCell ref="D281:F281"/>
    <mergeCell ref="D282:M282"/>
    <mergeCell ref="D283:F283"/>
    <mergeCell ref="D284:M284"/>
    <mergeCell ref="D285:F285"/>
    <mergeCell ref="D286:M286"/>
    <mergeCell ref="D287:F287"/>
    <mergeCell ref="D270:M270"/>
    <mergeCell ref="D271:F271"/>
    <mergeCell ref="D272:M272"/>
    <mergeCell ref="D273:F273"/>
    <mergeCell ref="D274:M274"/>
    <mergeCell ref="D275:F275"/>
    <mergeCell ref="D276:M276"/>
    <mergeCell ref="D277:F277"/>
    <mergeCell ref="D278:M278"/>
    <mergeCell ref="D261:M261"/>
    <mergeCell ref="D262:F262"/>
    <mergeCell ref="D263:M263"/>
    <mergeCell ref="D264:F264"/>
    <mergeCell ref="D265:M265"/>
    <mergeCell ref="D266:F266"/>
    <mergeCell ref="D267:F267"/>
    <mergeCell ref="D268:M268"/>
    <mergeCell ref="D269:F269"/>
    <mergeCell ref="D252:M252"/>
    <mergeCell ref="D253:F253"/>
    <mergeCell ref="D254:M254"/>
    <mergeCell ref="D255:F255"/>
    <mergeCell ref="D256:M256"/>
    <mergeCell ref="D257:F257"/>
    <mergeCell ref="D258:F258"/>
    <mergeCell ref="D259:M259"/>
    <mergeCell ref="D260:F260"/>
    <mergeCell ref="D243:M243"/>
    <mergeCell ref="D244:F244"/>
    <mergeCell ref="D245:M245"/>
    <mergeCell ref="D246:F246"/>
    <mergeCell ref="D247:F247"/>
    <mergeCell ref="D248:M248"/>
    <mergeCell ref="D249:F249"/>
    <mergeCell ref="D250:M250"/>
    <mergeCell ref="D251:F251"/>
    <mergeCell ref="D234:F234"/>
    <mergeCell ref="D235:M235"/>
    <mergeCell ref="D236:F236"/>
    <mergeCell ref="D237:M237"/>
    <mergeCell ref="D238:F238"/>
    <mergeCell ref="D239:F239"/>
    <mergeCell ref="D240:F240"/>
    <mergeCell ref="D241:M241"/>
    <mergeCell ref="D242:F242"/>
    <mergeCell ref="D225:M225"/>
    <mergeCell ref="D226:F226"/>
    <mergeCell ref="D227:M227"/>
    <mergeCell ref="D228:F228"/>
    <mergeCell ref="D229:M229"/>
    <mergeCell ref="D230:F230"/>
    <mergeCell ref="D231:M231"/>
    <mergeCell ref="D232:F232"/>
    <mergeCell ref="D233:M233"/>
    <mergeCell ref="D216:M216"/>
    <mergeCell ref="D217:F217"/>
    <mergeCell ref="D218:M218"/>
    <mergeCell ref="D219:F219"/>
    <mergeCell ref="D220:M220"/>
    <mergeCell ref="D221:F221"/>
    <mergeCell ref="D222:M222"/>
    <mergeCell ref="D223:F223"/>
    <mergeCell ref="D224:F224"/>
    <mergeCell ref="D207:F207"/>
    <mergeCell ref="D208:M208"/>
    <mergeCell ref="D209:F209"/>
    <mergeCell ref="D210:M210"/>
    <mergeCell ref="D211:F211"/>
    <mergeCell ref="D212:M212"/>
    <mergeCell ref="D213:F213"/>
    <mergeCell ref="D214:M214"/>
    <mergeCell ref="D215:F215"/>
    <mergeCell ref="D198:M198"/>
    <mergeCell ref="D199:F199"/>
    <mergeCell ref="D200:M200"/>
    <mergeCell ref="D201:F201"/>
    <mergeCell ref="D202:M202"/>
    <mergeCell ref="D203:F203"/>
    <mergeCell ref="D204:M204"/>
    <mergeCell ref="D205:F205"/>
    <mergeCell ref="D206:M206"/>
    <mergeCell ref="D189:F189"/>
    <mergeCell ref="D190:M190"/>
    <mergeCell ref="D191:F191"/>
    <mergeCell ref="D192:M192"/>
    <mergeCell ref="D193:F193"/>
    <mergeCell ref="D194:M194"/>
    <mergeCell ref="D195:F195"/>
    <mergeCell ref="D196:M196"/>
    <mergeCell ref="D197:F197"/>
    <mergeCell ref="D180:M180"/>
    <mergeCell ref="D181:F181"/>
    <mergeCell ref="D182:M182"/>
    <mergeCell ref="D183:F183"/>
    <mergeCell ref="D184:M184"/>
    <mergeCell ref="D185:F185"/>
    <mergeCell ref="D186:M186"/>
    <mergeCell ref="D187:F187"/>
    <mergeCell ref="D188:M188"/>
    <mergeCell ref="D171:F171"/>
    <mergeCell ref="D172:M172"/>
    <mergeCell ref="D173:F173"/>
    <mergeCell ref="D174:M174"/>
    <mergeCell ref="D175:F175"/>
    <mergeCell ref="D176:M176"/>
    <mergeCell ref="D177:F177"/>
    <mergeCell ref="D178:M178"/>
    <mergeCell ref="D179:F179"/>
    <mergeCell ref="D162:M162"/>
    <mergeCell ref="D163:F163"/>
    <mergeCell ref="D164:M164"/>
    <mergeCell ref="D165:F165"/>
    <mergeCell ref="D166:M166"/>
    <mergeCell ref="D167:F167"/>
    <mergeCell ref="D168:M168"/>
    <mergeCell ref="D169:F169"/>
    <mergeCell ref="D170:M170"/>
    <mergeCell ref="D153:F153"/>
    <mergeCell ref="D154:M154"/>
    <mergeCell ref="D155:F155"/>
    <mergeCell ref="D156:M156"/>
    <mergeCell ref="D157:F157"/>
    <mergeCell ref="D158:M158"/>
    <mergeCell ref="D159:F159"/>
    <mergeCell ref="D160:M160"/>
    <mergeCell ref="D161:F161"/>
    <mergeCell ref="D144:M144"/>
    <mergeCell ref="D145:F145"/>
    <mergeCell ref="D146:M146"/>
    <mergeCell ref="D147:F147"/>
    <mergeCell ref="D148:M148"/>
    <mergeCell ref="D149:F149"/>
    <mergeCell ref="D150:M150"/>
    <mergeCell ref="D151:F151"/>
    <mergeCell ref="D152:M152"/>
    <mergeCell ref="D135:F135"/>
    <mergeCell ref="D136:M136"/>
    <mergeCell ref="D137:F137"/>
    <mergeCell ref="D138:M138"/>
    <mergeCell ref="D139:F139"/>
    <mergeCell ref="D140:M140"/>
    <mergeCell ref="D141:F141"/>
    <mergeCell ref="D142:M142"/>
    <mergeCell ref="D143:F143"/>
    <mergeCell ref="D126:M126"/>
    <mergeCell ref="D127:F127"/>
    <mergeCell ref="D128:M128"/>
    <mergeCell ref="D129:F129"/>
    <mergeCell ref="D130:M130"/>
    <mergeCell ref="D131:F131"/>
    <mergeCell ref="D132:M132"/>
    <mergeCell ref="D133:F133"/>
    <mergeCell ref="D134:M134"/>
    <mergeCell ref="D117:M117"/>
    <mergeCell ref="D118:F118"/>
    <mergeCell ref="D119:F119"/>
    <mergeCell ref="D120:M120"/>
    <mergeCell ref="D121:F121"/>
    <mergeCell ref="D122:M122"/>
    <mergeCell ref="D123:F123"/>
    <mergeCell ref="D124:M124"/>
    <mergeCell ref="D125:F125"/>
    <mergeCell ref="D108:F108"/>
    <mergeCell ref="D109:M109"/>
    <mergeCell ref="D110:F110"/>
    <mergeCell ref="D111:M111"/>
    <mergeCell ref="D112:F112"/>
    <mergeCell ref="D113:M113"/>
    <mergeCell ref="D114:F114"/>
    <mergeCell ref="D115:M115"/>
    <mergeCell ref="D116:F116"/>
    <mergeCell ref="D99:M99"/>
    <mergeCell ref="D100:F100"/>
    <mergeCell ref="D101:M101"/>
    <mergeCell ref="D102:F102"/>
    <mergeCell ref="D103:M103"/>
    <mergeCell ref="D104:F104"/>
    <mergeCell ref="D105:M105"/>
    <mergeCell ref="D106:F106"/>
    <mergeCell ref="D107:M107"/>
    <mergeCell ref="D90:M90"/>
    <mergeCell ref="D91:F91"/>
    <mergeCell ref="D92:M92"/>
    <mergeCell ref="D93:F93"/>
    <mergeCell ref="D94:F94"/>
    <mergeCell ref="D95:M95"/>
    <mergeCell ref="D96:F96"/>
    <mergeCell ref="D97:M97"/>
    <mergeCell ref="D98:F98"/>
    <mergeCell ref="D81:M81"/>
    <mergeCell ref="D82:F82"/>
    <mergeCell ref="D83:F83"/>
    <mergeCell ref="D84:M84"/>
    <mergeCell ref="D85:F85"/>
    <mergeCell ref="D86:M86"/>
    <mergeCell ref="D87:F87"/>
    <mergeCell ref="D88:M88"/>
    <mergeCell ref="D89:F89"/>
    <mergeCell ref="D72:F72"/>
    <mergeCell ref="D73:M73"/>
    <mergeCell ref="D74:F74"/>
    <mergeCell ref="D75:M75"/>
    <mergeCell ref="D76:F76"/>
    <mergeCell ref="D77:M77"/>
    <mergeCell ref="D78:F78"/>
    <mergeCell ref="D79:M79"/>
    <mergeCell ref="D80:F80"/>
    <mergeCell ref="D63:F63"/>
    <mergeCell ref="D64:F64"/>
    <mergeCell ref="D65:F65"/>
    <mergeCell ref="D66:M66"/>
    <mergeCell ref="D67:F67"/>
    <mergeCell ref="D68:M68"/>
    <mergeCell ref="D69:F69"/>
    <mergeCell ref="D70:M70"/>
    <mergeCell ref="D71:F71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36:F36"/>
    <mergeCell ref="D37:F37"/>
    <mergeCell ref="D38:M38"/>
    <mergeCell ref="D39:F39"/>
    <mergeCell ref="D40:F40"/>
    <mergeCell ref="D41:F41"/>
    <mergeCell ref="D42:F42"/>
    <mergeCell ref="D43:F43"/>
    <mergeCell ref="D44:F44"/>
    <mergeCell ref="D27:F27"/>
    <mergeCell ref="D28:M28"/>
    <mergeCell ref="D29:F29"/>
    <mergeCell ref="D30:F30"/>
    <mergeCell ref="D31:F31"/>
    <mergeCell ref="D32:M32"/>
    <mergeCell ref="D33:F33"/>
    <mergeCell ref="D34:F34"/>
    <mergeCell ref="D35:F35"/>
    <mergeCell ref="D18:F18"/>
    <mergeCell ref="D19:F19"/>
    <mergeCell ref="D20:F20"/>
    <mergeCell ref="D21:F21"/>
    <mergeCell ref="D22:M22"/>
    <mergeCell ref="D23:F23"/>
    <mergeCell ref="D24:F24"/>
    <mergeCell ref="D25:M25"/>
    <mergeCell ref="D26:F26"/>
    <mergeCell ref="D10:F10"/>
    <mergeCell ref="J10:L10"/>
    <mergeCell ref="D11:F11"/>
    <mergeCell ref="D12:F12"/>
    <mergeCell ref="D13:F13"/>
    <mergeCell ref="D14:F14"/>
    <mergeCell ref="D15:F15"/>
    <mergeCell ref="D16:F16"/>
    <mergeCell ref="D17:F17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</mergeCells>
  <pageMargins left="0.39400000000000002" right="0.39400000000000002" top="0.59099999999999997" bottom="0.59099999999999997" header="0.5" footer="0.5"/>
  <pageSetup paperSize="9" scale="55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67"/>
  <sheetViews>
    <sheetView workbookViewId="0">
      <pane ySplit="10" topLeftCell="A11" activePane="bottomLeft" state="frozenSplit"/>
      <selection pane="bottomLeft" sqref="A1:H1"/>
    </sheetView>
  </sheetViews>
  <sheetFormatPr defaultColWidth="11.5703125" defaultRowHeight="12.75" x14ac:dyDescent="0.2"/>
  <cols>
    <col min="1" max="2" width="9.140625" customWidth="1"/>
    <col min="3" max="3" width="13.28515625" customWidth="1"/>
    <col min="4" max="4" width="114.140625" customWidth="1"/>
    <col min="5" max="5" width="14.5703125" customWidth="1"/>
    <col min="6" max="6" width="24.140625" customWidth="1"/>
    <col min="7" max="7" width="15.7109375" customWidth="1"/>
    <col min="8" max="8" width="18.140625" customWidth="1"/>
  </cols>
  <sheetData>
    <row r="1" spans="1:9" ht="72.95" customHeight="1" x14ac:dyDescent="0.35">
      <c r="A1" s="145" t="s">
        <v>1088</v>
      </c>
      <c r="B1" s="107"/>
      <c r="C1" s="107"/>
      <c r="D1" s="107"/>
      <c r="E1" s="107"/>
      <c r="F1" s="107"/>
      <c r="G1" s="107"/>
      <c r="H1" s="107"/>
    </row>
    <row r="2" spans="1:9" x14ac:dyDescent="0.2">
      <c r="A2" s="108" t="s">
        <v>0</v>
      </c>
      <c r="B2" s="109"/>
      <c r="C2" s="112" t="str">
        <f>'Stavební rozpočet'!D2</f>
        <v>Snížení energetické náročnosti MŠ Hrabinská Český Těšín</v>
      </c>
      <c r="D2" s="113"/>
      <c r="E2" s="115" t="s">
        <v>32</v>
      </c>
      <c r="F2" s="115" t="str">
        <f>'Stavební rozpočet'!J2</f>
        <v>Město Český Těšín</v>
      </c>
      <c r="G2" s="109"/>
      <c r="H2" s="146"/>
      <c r="I2" s="19"/>
    </row>
    <row r="3" spans="1:9" x14ac:dyDescent="0.2">
      <c r="A3" s="110"/>
      <c r="B3" s="111"/>
      <c r="C3" s="114"/>
      <c r="D3" s="114"/>
      <c r="E3" s="111"/>
      <c r="F3" s="111"/>
      <c r="G3" s="111"/>
      <c r="H3" s="117"/>
      <c r="I3" s="19"/>
    </row>
    <row r="4" spans="1:9" x14ac:dyDescent="0.2">
      <c r="A4" s="119" t="s">
        <v>1</v>
      </c>
      <c r="B4" s="111"/>
      <c r="C4" s="120" t="str">
        <f>'Stavební rozpočet'!D4</f>
        <v>Rekuperace</v>
      </c>
      <c r="D4" s="111"/>
      <c r="E4" s="120" t="s">
        <v>33</v>
      </c>
      <c r="F4" s="120" t="str">
        <f>'Stavební rozpočet'!J4</f>
        <v>C.E.I.S. CZ s.r.o.</v>
      </c>
      <c r="G4" s="111"/>
      <c r="H4" s="117"/>
      <c r="I4" s="19"/>
    </row>
    <row r="5" spans="1:9" x14ac:dyDescent="0.2">
      <c r="A5" s="110"/>
      <c r="B5" s="111"/>
      <c r="C5" s="111"/>
      <c r="D5" s="111"/>
      <c r="E5" s="111"/>
      <c r="F5" s="111"/>
      <c r="G5" s="111"/>
      <c r="H5" s="117"/>
      <c r="I5" s="19"/>
    </row>
    <row r="6" spans="1:9" x14ac:dyDescent="0.2">
      <c r="A6" s="119" t="s">
        <v>2</v>
      </c>
      <c r="B6" s="111"/>
      <c r="C6" s="120" t="str">
        <f>'Stavební rozpočet'!D6</f>
        <v>Hrabinská 1016/51, Český Těšín</v>
      </c>
      <c r="D6" s="111"/>
      <c r="E6" s="120" t="s">
        <v>34</v>
      </c>
      <c r="F6" s="120" t="str">
        <f>'Stavební rozpočet'!J6</f>
        <v> </v>
      </c>
      <c r="G6" s="111"/>
      <c r="H6" s="117"/>
      <c r="I6" s="19"/>
    </row>
    <row r="7" spans="1:9" x14ac:dyDescent="0.2">
      <c r="A7" s="110"/>
      <c r="B7" s="111"/>
      <c r="C7" s="111"/>
      <c r="D7" s="111"/>
      <c r="E7" s="111"/>
      <c r="F7" s="111"/>
      <c r="G7" s="111"/>
      <c r="H7" s="117"/>
      <c r="I7" s="19"/>
    </row>
    <row r="8" spans="1:9" x14ac:dyDescent="0.2">
      <c r="A8" s="119" t="s">
        <v>36</v>
      </c>
      <c r="B8" s="111"/>
      <c r="C8" s="120" t="str">
        <f>'Stavební rozpočet'!J8</f>
        <v>Blažek</v>
      </c>
      <c r="D8" s="111"/>
      <c r="E8" s="120" t="s">
        <v>76</v>
      </c>
      <c r="F8" s="120" t="str">
        <f>'Stavební rozpočet'!G8</f>
        <v>20.12.2019</v>
      </c>
      <c r="G8" s="111"/>
      <c r="H8" s="117"/>
      <c r="I8" s="19"/>
    </row>
    <row r="9" spans="1:9" x14ac:dyDescent="0.2">
      <c r="A9" s="149"/>
      <c r="B9" s="147"/>
      <c r="C9" s="147"/>
      <c r="D9" s="147"/>
      <c r="E9" s="147"/>
      <c r="F9" s="147"/>
      <c r="G9" s="147"/>
      <c r="H9" s="148"/>
      <c r="I9" s="19"/>
    </row>
    <row r="10" spans="1:9" x14ac:dyDescent="0.2">
      <c r="A10" s="91" t="s">
        <v>140</v>
      </c>
      <c r="B10" s="94" t="s">
        <v>61</v>
      </c>
      <c r="C10" s="94" t="s">
        <v>83</v>
      </c>
      <c r="D10" s="190" t="s">
        <v>829</v>
      </c>
      <c r="E10" s="191"/>
      <c r="F10" s="94" t="s">
        <v>993</v>
      </c>
      <c r="G10" s="96" t="s">
        <v>1010</v>
      </c>
      <c r="H10" s="100" t="s">
        <v>1139</v>
      </c>
      <c r="I10" s="20"/>
    </row>
    <row r="11" spans="1:9" x14ac:dyDescent="0.2">
      <c r="A11" s="92"/>
      <c r="B11" s="95"/>
      <c r="C11" s="95" t="s">
        <v>119</v>
      </c>
      <c r="D11" s="192" t="s">
        <v>137</v>
      </c>
      <c r="E11" s="193"/>
      <c r="F11" s="95"/>
      <c r="G11" s="97"/>
      <c r="H11" s="101"/>
      <c r="I11" s="19"/>
    </row>
    <row r="12" spans="1:9" x14ac:dyDescent="0.2">
      <c r="A12" s="47" t="s">
        <v>141</v>
      </c>
      <c r="B12" s="55" t="s">
        <v>67</v>
      </c>
      <c r="C12" s="55" t="s">
        <v>814</v>
      </c>
      <c r="D12" s="178" t="s">
        <v>972</v>
      </c>
      <c r="E12" s="179"/>
      <c r="F12" s="55" t="s">
        <v>997</v>
      </c>
      <c r="G12" s="64">
        <v>90</v>
      </c>
      <c r="H12" s="102">
        <v>0</v>
      </c>
      <c r="I12" s="19"/>
    </row>
    <row r="13" spans="1:9" x14ac:dyDescent="0.2">
      <c r="A13" s="47" t="s">
        <v>142</v>
      </c>
      <c r="B13" s="55" t="s">
        <v>67</v>
      </c>
      <c r="C13" s="55" t="s">
        <v>815</v>
      </c>
      <c r="D13" s="178" t="s">
        <v>973</v>
      </c>
      <c r="E13" s="179"/>
      <c r="F13" s="55" t="s">
        <v>998</v>
      </c>
      <c r="G13" s="64">
        <v>4</v>
      </c>
      <c r="H13" s="102">
        <v>0</v>
      </c>
      <c r="I13" s="19"/>
    </row>
    <row r="14" spans="1:9" x14ac:dyDescent="0.2">
      <c r="A14" s="47" t="s">
        <v>84</v>
      </c>
      <c r="B14" s="55" t="s">
        <v>67</v>
      </c>
      <c r="C14" s="55" t="s">
        <v>816</v>
      </c>
      <c r="D14" s="178" t="s">
        <v>974</v>
      </c>
      <c r="E14" s="179"/>
      <c r="F14" s="55" t="s">
        <v>997</v>
      </c>
      <c r="G14" s="64">
        <v>120</v>
      </c>
      <c r="H14" s="102">
        <v>0</v>
      </c>
      <c r="I14" s="19"/>
    </row>
    <row r="15" spans="1:9" x14ac:dyDescent="0.2">
      <c r="A15" s="47" t="s">
        <v>85</v>
      </c>
      <c r="B15" s="55" t="s">
        <v>67</v>
      </c>
      <c r="C15" s="55" t="s">
        <v>817</v>
      </c>
      <c r="D15" s="178" t="s">
        <v>975</v>
      </c>
      <c r="E15" s="179"/>
      <c r="F15" s="55" t="s">
        <v>997</v>
      </c>
      <c r="G15" s="64">
        <v>85</v>
      </c>
      <c r="H15" s="102">
        <v>0</v>
      </c>
      <c r="I15" s="19"/>
    </row>
    <row r="16" spans="1:9" x14ac:dyDescent="0.2">
      <c r="A16" s="47" t="s">
        <v>143</v>
      </c>
      <c r="B16" s="55" t="s">
        <v>67</v>
      </c>
      <c r="C16" s="55" t="s">
        <v>818</v>
      </c>
      <c r="D16" s="178" t="s">
        <v>976</v>
      </c>
      <c r="E16" s="179"/>
      <c r="F16" s="55" t="s">
        <v>998</v>
      </c>
      <c r="G16" s="64">
        <v>8</v>
      </c>
      <c r="H16" s="102">
        <v>0</v>
      </c>
      <c r="I16" s="19"/>
    </row>
    <row r="17" spans="1:9" x14ac:dyDescent="0.2">
      <c r="A17" s="47" t="s">
        <v>86</v>
      </c>
      <c r="B17" s="55" t="s">
        <v>67</v>
      </c>
      <c r="C17" s="55" t="s">
        <v>819</v>
      </c>
      <c r="D17" s="178" t="s">
        <v>977</v>
      </c>
      <c r="E17" s="179"/>
      <c r="F17" s="55" t="s">
        <v>1008</v>
      </c>
      <c r="G17" s="64">
        <v>8</v>
      </c>
      <c r="H17" s="102">
        <v>0</v>
      </c>
      <c r="I17" s="19"/>
    </row>
    <row r="18" spans="1:9" x14ac:dyDescent="0.2">
      <c r="A18" s="47" t="s">
        <v>144</v>
      </c>
      <c r="B18" s="55" t="s">
        <v>67</v>
      </c>
      <c r="C18" s="55" t="s">
        <v>819</v>
      </c>
      <c r="D18" s="178" t="s">
        <v>978</v>
      </c>
      <c r="E18" s="179"/>
      <c r="F18" s="55" t="s">
        <v>998</v>
      </c>
      <c r="G18" s="64">
        <v>20</v>
      </c>
      <c r="H18" s="102">
        <v>0</v>
      </c>
      <c r="I18" s="19"/>
    </row>
    <row r="19" spans="1:9" x14ac:dyDescent="0.2">
      <c r="A19" s="47" t="s">
        <v>145</v>
      </c>
      <c r="B19" s="55" t="s">
        <v>67</v>
      </c>
      <c r="C19" s="55" t="s">
        <v>819</v>
      </c>
      <c r="D19" s="178" t="s">
        <v>979</v>
      </c>
      <c r="E19" s="179"/>
      <c r="F19" s="55" t="s">
        <v>1009</v>
      </c>
      <c r="G19" s="64">
        <v>8</v>
      </c>
      <c r="H19" s="102">
        <v>0</v>
      </c>
      <c r="I19" s="19"/>
    </row>
    <row r="20" spans="1:9" x14ac:dyDescent="0.2">
      <c r="A20" s="47" t="s">
        <v>88</v>
      </c>
      <c r="B20" s="55" t="s">
        <v>67</v>
      </c>
      <c r="C20" s="55" t="s">
        <v>819</v>
      </c>
      <c r="D20" s="178" t="s">
        <v>980</v>
      </c>
      <c r="E20" s="179"/>
      <c r="F20" s="55" t="s">
        <v>1009</v>
      </c>
      <c r="G20" s="64">
        <v>4</v>
      </c>
      <c r="H20" s="102">
        <v>0</v>
      </c>
      <c r="I20" s="19"/>
    </row>
    <row r="21" spans="1:9" x14ac:dyDescent="0.2">
      <c r="A21" s="47" t="s">
        <v>146</v>
      </c>
      <c r="B21" s="55" t="s">
        <v>67</v>
      </c>
      <c r="C21" s="55" t="s">
        <v>819</v>
      </c>
      <c r="D21" s="178" t="s">
        <v>981</v>
      </c>
      <c r="E21" s="179"/>
      <c r="F21" s="55" t="s">
        <v>1009</v>
      </c>
      <c r="G21" s="64">
        <v>4</v>
      </c>
      <c r="H21" s="102">
        <v>0</v>
      </c>
      <c r="I21" s="19"/>
    </row>
    <row r="22" spans="1:9" x14ac:dyDescent="0.2">
      <c r="A22" s="47" t="s">
        <v>147</v>
      </c>
      <c r="B22" s="55" t="s">
        <v>67</v>
      </c>
      <c r="C22" s="55" t="s">
        <v>820</v>
      </c>
      <c r="D22" s="178" t="s">
        <v>982</v>
      </c>
      <c r="E22" s="179"/>
      <c r="F22" s="55" t="s">
        <v>1009</v>
      </c>
      <c r="G22" s="64">
        <v>6</v>
      </c>
      <c r="H22" s="102">
        <v>0</v>
      </c>
      <c r="I22" s="19"/>
    </row>
    <row r="23" spans="1:9" x14ac:dyDescent="0.2">
      <c r="A23" s="47" t="s">
        <v>148</v>
      </c>
      <c r="B23" s="55" t="s">
        <v>67</v>
      </c>
      <c r="C23" s="55" t="s">
        <v>819</v>
      </c>
      <c r="D23" s="178" t="s">
        <v>983</v>
      </c>
      <c r="E23" s="179"/>
      <c r="F23" s="55" t="s">
        <v>1009</v>
      </c>
      <c r="G23" s="64">
        <v>4</v>
      </c>
      <c r="H23" s="102">
        <v>0</v>
      </c>
      <c r="I23" s="19"/>
    </row>
    <row r="24" spans="1:9" x14ac:dyDescent="0.2">
      <c r="A24" s="49" t="s">
        <v>149</v>
      </c>
      <c r="B24" s="57" t="s">
        <v>67</v>
      </c>
      <c r="C24" s="57" t="s">
        <v>821</v>
      </c>
      <c r="D24" s="186" t="s">
        <v>984</v>
      </c>
      <c r="E24" s="187"/>
      <c r="F24" s="57" t="s">
        <v>997</v>
      </c>
      <c r="G24" s="65">
        <v>10</v>
      </c>
      <c r="H24" s="103">
        <v>0</v>
      </c>
      <c r="I24" s="19"/>
    </row>
    <row r="25" spans="1:9" x14ac:dyDescent="0.2">
      <c r="A25" s="49" t="s">
        <v>150</v>
      </c>
      <c r="B25" s="57" t="s">
        <v>67</v>
      </c>
      <c r="C25" s="57" t="s">
        <v>821</v>
      </c>
      <c r="D25" s="186" t="s">
        <v>985</v>
      </c>
      <c r="E25" s="187"/>
      <c r="F25" s="57" t="s">
        <v>997</v>
      </c>
      <c r="G25" s="65">
        <v>80</v>
      </c>
      <c r="H25" s="103">
        <v>0</v>
      </c>
      <c r="I25" s="19"/>
    </row>
    <row r="26" spans="1:9" x14ac:dyDescent="0.2">
      <c r="A26" s="49" t="s">
        <v>151</v>
      </c>
      <c r="B26" s="57" t="s">
        <v>67</v>
      </c>
      <c r="C26" s="57" t="s">
        <v>822</v>
      </c>
      <c r="D26" s="186" t="s">
        <v>986</v>
      </c>
      <c r="E26" s="187"/>
      <c r="F26" s="57" t="s">
        <v>998</v>
      </c>
      <c r="G26" s="65">
        <v>4</v>
      </c>
      <c r="H26" s="103">
        <v>0</v>
      </c>
      <c r="I26" s="19"/>
    </row>
    <row r="27" spans="1:9" x14ac:dyDescent="0.2">
      <c r="A27" s="47" t="s">
        <v>152</v>
      </c>
      <c r="B27" s="55" t="s">
        <v>67</v>
      </c>
      <c r="C27" s="55" t="s">
        <v>819</v>
      </c>
      <c r="D27" s="178" t="s">
        <v>977</v>
      </c>
      <c r="E27" s="179"/>
      <c r="F27" s="55" t="s">
        <v>998</v>
      </c>
      <c r="G27" s="64">
        <v>4</v>
      </c>
      <c r="H27" s="102">
        <v>0</v>
      </c>
      <c r="I27" s="19"/>
    </row>
    <row r="28" spans="1:9" x14ac:dyDescent="0.2">
      <c r="A28" s="47" t="s">
        <v>153</v>
      </c>
      <c r="B28" s="55" t="s">
        <v>67</v>
      </c>
      <c r="C28" s="55" t="s">
        <v>823</v>
      </c>
      <c r="D28" s="178" t="s">
        <v>987</v>
      </c>
      <c r="E28" s="179"/>
      <c r="F28" s="55" t="s">
        <v>997</v>
      </c>
      <c r="G28" s="64">
        <v>120</v>
      </c>
      <c r="H28" s="102">
        <v>0</v>
      </c>
      <c r="I28" s="19"/>
    </row>
    <row r="29" spans="1:9" x14ac:dyDescent="0.2">
      <c r="A29" s="47" t="s">
        <v>154</v>
      </c>
      <c r="B29" s="55" t="s">
        <v>67</v>
      </c>
      <c r="C29" s="55" t="s">
        <v>819</v>
      </c>
      <c r="D29" s="178" t="s">
        <v>988</v>
      </c>
      <c r="E29" s="179"/>
      <c r="F29" s="55" t="s">
        <v>997</v>
      </c>
      <c r="G29" s="64">
        <v>85</v>
      </c>
      <c r="H29" s="102">
        <v>0</v>
      </c>
      <c r="I29" s="19"/>
    </row>
    <row r="30" spans="1:9" x14ac:dyDescent="0.2">
      <c r="A30" s="47" t="s">
        <v>155</v>
      </c>
      <c r="B30" s="55" t="s">
        <v>67</v>
      </c>
      <c r="C30" s="55" t="s">
        <v>819</v>
      </c>
      <c r="D30" s="178" t="s">
        <v>989</v>
      </c>
      <c r="E30" s="179"/>
      <c r="F30" s="55" t="s">
        <v>998</v>
      </c>
      <c r="G30" s="64">
        <v>4</v>
      </c>
      <c r="H30" s="102">
        <v>0</v>
      </c>
      <c r="I30" s="19"/>
    </row>
    <row r="31" spans="1:9" x14ac:dyDescent="0.2">
      <c r="A31" s="93"/>
      <c r="B31" s="54"/>
      <c r="C31" s="54" t="s">
        <v>120</v>
      </c>
      <c r="D31" s="176" t="s">
        <v>138</v>
      </c>
      <c r="E31" s="177"/>
      <c r="F31" s="54"/>
      <c r="G31" s="83"/>
      <c r="H31" s="78"/>
      <c r="I31" s="19"/>
    </row>
    <row r="32" spans="1:9" x14ac:dyDescent="0.2">
      <c r="A32" s="47" t="s">
        <v>156</v>
      </c>
      <c r="B32" s="55" t="s">
        <v>67</v>
      </c>
      <c r="C32" s="55" t="s">
        <v>824</v>
      </c>
      <c r="D32" s="178" t="s">
        <v>990</v>
      </c>
      <c r="E32" s="179"/>
      <c r="F32" s="55" t="s">
        <v>998</v>
      </c>
      <c r="G32" s="64">
        <v>4</v>
      </c>
      <c r="H32" s="102">
        <v>0</v>
      </c>
      <c r="I32" s="19"/>
    </row>
    <row r="33" spans="1:9" x14ac:dyDescent="0.2">
      <c r="A33" s="47" t="s">
        <v>157</v>
      </c>
      <c r="B33" s="55" t="s">
        <v>67</v>
      </c>
      <c r="C33" s="55" t="s">
        <v>825</v>
      </c>
      <c r="D33" s="178" t="s">
        <v>991</v>
      </c>
      <c r="E33" s="179"/>
      <c r="F33" s="55" t="s">
        <v>998</v>
      </c>
      <c r="G33" s="64">
        <v>12</v>
      </c>
      <c r="H33" s="102">
        <v>0</v>
      </c>
      <c r="I33" s="19"/>
    </row>
    <row r="34" spans="1:9" x14ac:dyDescent="0.2">
      <c r="A34" s="93"/>
      <c r="B34" s="54"/>
      <c r="C34" s="54" t="s">
        <v>102</v>
      </c>
      <c r="D34" s="176" t="s">
        <v>121</v>
      </c>
      <c r="E34" s="177"/>
      <c r="F34" s="54"/>
      <c r="G34" s="83"/>
      <c r="H34" s="78"/>
      <c r="I34" s="19"/>
    </row>
    <row r="35" spans="1:9" x14ac:dyDescent="0.2">
      <c r="A35" s="47" t="s">
        <v>158</v>
      </c>
      <c r="B35" s="55" t="s">
        <v>63</v>
      </c>
      <c r="C35" s="55" t="s">
        <v>548</v>
      </c>
      <c r="D35" s="178" t="s">
        <v>869</v>
      </c>
      <c r="E35" s="179"/>
      <c r="F35" s="55" t="s">
        <v>999</v>
      </c>
      <c r="G35" s="64">
        <v>7</v>
      </c>
      <c r="H35" s="102">
        <v>0</v>
      </c>
      <c r="I35" s="19"/>
    </row>
    <row r="36" spans="1:9" x14ac:dyDescent="0.2">
      <c r="A36" s="49" t="s">
        <v>159</v>
      </c>
      <c r="B36" s="57" t="s">
        <v>63</v>
      </c>
      <c r="C36" s="57" t="s">
        <v>549</v>
      </c>
      <c r="D36" s="186" t="s">
        <v>870</v>
      </c>
      <c r="E36" s="187"/>
      <c r="F36" s="57" t="s">
        <v>999</v>
      </c>
      <c r="G36" s="65">
        <v>7</v>
      </c>
      <c r="H36" s="103">
        <v>0</v>
      </c>
      <c r="I36" s="19"/>
    </row>
    <row r="37" spans="1:9" x14ac:dyDescent="0.2">
      <c r="A37" s="47" t="s">
        <v>160</v>
      </c>
      <c r="B37" s="55" t="s">
        <v>63</v>
      </c>
      <c r="C37" s="55" t="s">
        <v>550</v>
      </c>
      <c r="D37" s="178" t="s">
        <v>871</v>
      </c>
      <c r="E37" s="179"/>
      <c r="F37" s="55" t="s">
        <v>1000</v>
      </c>
      <c r="G37" s="64">
        <v>149.1</v>
      </c>
      <c r="H37" s="102">
        <v>0</v>
      </c>
      <c r="I37" s="19"/>
    </row>
    <row r="38" spans="1:9" x14ac:dyDescent="0.2">
      <c r="A38" s="47" t="s">
        <v>161</v>
      </c>
      <c r="B38" s="55" t="s">
        <v>64</v>
      </c>
      <c r="C38" s="55" t="s">
        <v>548</v>
      </c>
      <c r="D38" s="178" t="s">
        <v>869</v>
      </c>
      <c r="E38" s="179"/>
      <c r="F38" s="55" t="s">
        <v>999</v>
      </c>
      <c r="G38" s="64">
        <v>7</v>
      </c>
      <c r="H38" s="102">
        <v>0</v>
      </c>
      <c r="I38" s="19"/>
    </row>
    <row r="39" spans="1:9" x14ac:dyDescent="0.2">
      <c r="A39" s="49" t="s">
        <v>162</v>
      </c>
      <c r="B39" s="57" t="s">
        <v>64</v>
      </c>
      <c r="C39" s="57" t="s">
        <v>632</v>
      </c>
      <c r="D39" s="186" t="s">
        <v>870</v>
      </c>
      <c r="E39" s="187"/>
      <c r="F39" s="57" t="s">
        <v>999</v>
      </c>
      <c r="G39" s="65">
        <v>7</v>
      </c>
      <c r="H39" s="103">
        <v>0</v>
      </c>
      <c r="I39" s="19"/>
    </row>
    <row r="40" spans="1:9" x14ac:dyDescent="0.2">
      <c r="A40" s="47" t="s">
        <v>163</v>
      </c>
      <c r="B40" s="55" t="s">
        <v>64</v>
      </c>
      <c r="C40" s="55" t="s">
        <v>550</v>
      </c>
      <c r="D40" s="178" t="s">
        <v>871</v>
      </c>
      <c r="E40" s="179"/>
      <c r="F40" s="55" t="s">
        <v>1000</v>
      </c>
      <c r="G40" s="64">
        <v>149.1</v>
      </c>
      <c r="H40" s="102">
        <v>0</v>
      </c>
      <c r="I40" s="19"/>
    </row>
    <row r="41" spans="1:9" x14ac:dyDescent="0.2">
      <c r="A41" s="47" t="s">
        <v>164</v>
      </c>
      <c r="B41" s="55" t="s">
        <v>65</v>
      </c>
      <c r="C41" s="55" t="s">
        <v>548</v>
      </c>
      <c r="D41" s="178" t="s">
        <v>869</v>
      </c>
      <c r="E41" s="179"/>
      <c r="F41" s="55" t="s">
        <v>999</v>
      </c>
      <c r="G41" s="64">
        <v>7</v>
      </c>
      <c r="H41" s="102">
        <v>0</v>
      </c>
      <c r="I41" s="19"/>
    </row>
    <row r="42" spans="1:9" x14ac:dyDescent="0.2">
      <c r="A42" s="49" t="s">
        <v>165</v>
      </c>
      <c r="B42" s="57" t="s">
        <v>65</v>
      </c>
      <c r="C42" s="57" t="s">
        <v>694</v>
      </c>
      <c r="D42" s="186" t="s">
        <v>870</v>
      </c>
      <c r="E42" s="187"/>
      <c r="F42" s="57" t="s">
        <v>999</v>
      </c>
      <c r="G42" s="65">
        <v>7</v>
      </c>
      <c r="H42" s="103">
        <v>0</v>
      </c>
      <c r="I42" s="19"/>
    </row>
    <row r="43" spans="1:9" x14ac:dyDescent="0.2">
      <c r="A43" s="47" t="s">
        <v>166</v>
      </c>
      <c r="B43" s="55" t="s">
        <v>65</v>
      </c>
      <c r="C43" s="55" t="s">
        <v>550</v>
      </c>
      <c r="D43" s="178" t="s">
        <v>871</v>
      </c>
      <c r="E43" s="179"/>
      <c r="F43" s="55" t="s">
        <v>1000</v>
      </c>
      <c r="G43" s="64">
        <v>149.1</v>
      </c>
      <c r="H43" s="102">
        <v>0</v>
      </c>
      <c r="I43" s="19"/>
    </row>
    <row r="44" spans="1:9" x14ac:dyDescent="0.2">
      <c r="A44" s="47" t="s">
        <v>103</v>
      </c>
      <c r="B44" s="55" t="s">
        <v>66</v>
      </c>
      <c r="C44" s="55" t="s">
        <v>548</v>
      </c>
      <c r="D44" s="178" t="s">
        <v>869</v>
      </c>
      <c r="E44" s="179"/>
      <c r="F44" s="55" t="s">
        <v>999</v>
      </c>
      <c r="G44" s="64">
        <v>7</v>
      </c>
      <c r="H44" s="102">
        <v>0</v>
      </c>
      <c r="I44" s="19"/>
    </row>
    <row r="45" spans="1:9" x14ac:dyDescent="0.2">
      <c r="A45" s="49" t="s">
        <v>167</v>
      </c>
      <c r="B45" s="57" t="s">
        <v>66</v>
      </c>
      <c r="C45" s="57" t="s">
        <v>754</v>
      </c>
      <c r="D45" s="186" t="s">
        <v>870</v>
      </c>
      <c r="E45" s="187"/>
      <c r="F45" s="57" t="s">
        <v>999</v>
      </c>
      <c r="G45" s="65">
        <v>7</v>
      </c>
      <c r="H45" s="103">
        <v>0</v>
      </c>
      <c r="I45" s="19"/>
    </row>
    <row r="46" spans="1:9" x14ac:dyDescent="0.2">
      <c r="A46" s="47" t="s">
        <v>168</v>
      </c>
      <c r="B46" s="55" t="s">
        <v>66</v>
      </c>
      <c r="C46" s="55" t="s">
        <v>550</v>
      </c>
      <c r="D46" s="178" t="s">
        <v>871</v>
      </c>
      <c r="E46" s="179"/>
      <c r="F46" s="55" t="s">
        <v>1000</v>
      </c>
      <c r="G46" s="64">
        <v>149.1</v>
      </c>
      <c r="H46" s="102">
        <v>0</v>
      </c>
      <c r="I46" s="19"/>
    </row>
    <row r="47" spans="1:9" ht="12.2" customHeight="1" x14ac:dyDescent="0.2">
      <c r="A47" s="47" t="s">
        <v>104</v>
      </c>
      <c r="B47" s="55" t="s">
        <v>62</v>
      </c>
      <c r="C47" s="55" t="s">
        <v>514</v>
      </c>
      <c r="D47" s="194" t="s">
        <v>1089</v>
      </c>
      <c r="E47" s="195"/>
      <c r="F47" s="194"/>
      <c r="G47" s="98">
        <v>0</v>
      </c>
      <c r="H47" s="102">
        <v>0</v>
      </c>
      <c r="I47" s="19"/>
    </row>
    <row r="48" spans="1:9" ht="12.2" customHeight="1" x14ac:dyDescent="0.2">
      <c r="A48" s="47" t="s">
        <v>169</v>
      </c>
      <c r="B48" s="55" t="s">
        <v>62</v>
      </c>
      <c r="C48" s="55" t="s">
        <v>515</v>
      </c>
      <c r="D48" s="194" t="s">
        <v>1090</v>
      </c>
      <c r="E48" s="195"/>
      <c r="F48" s="194"/>
      <c r="G48" s="98">
        <v>0</v>
      </c>
      <c r="H48" s="102">
        <v>0</v>
      </c>
      <c r="I48" s="19"/>
    </row>
    <row r="49" spans="1:9" ht="12.2" customHeight="1" x14ac:dyDescent="0.2">
      <c r="A49" s="47"/>
      <c r="B49" s="55"/>
      <c r="C49" s="55"/>
      <c r="D49" s="194" t="s">
        <v>1091</v>
      </c>
      <c r="E49" s="195"/>
      <c r="F49" s="194"/>
      <c r="G49" s="98">
        <v>0</v>
      </c>
      <c r="H49" s="79"/>
      <c r="I49" s="19"/>
    </row>
    <row r="50" spans="1:9" x14ac:dyDescent="0.2">
      <c r="A50" s="47" t="s">
        <v>170</v>
      </c>
      <c r="B50" s="55" t="s">
        <v>62</v>
      </c>
      <c r="C50" s="55" t="s">
        <v>516</v>
      </c>
      <c r="D50" s="178" t="s">
        <v>833</v>
      </c>
      <c r="E50" s="179"/>
      <c r="F50" s="55" t="s">
        <v>995</v>
      </c>
      <c r="G50" s="64">
        <v>0.23760000000000001</v>
      </c>
      <c r="H50" s="102">
        <v>0</v>
      </c>
      <c r="I50" s="19"/>
    </row>
    <row r="51" spans="1:9" x14ac:dyDescent="0.2">
      <c r="A51" s="93"/>
      <c r="B51" s="54"/>
      <c r="C51" s="54" t="s">
        <v>114</v>
      </c>
      <c r="D51" s="176" t="s">
        <v>133</v>
      </c>
      <c r="E51" s="177"/>
      <c r="F51" s="54"/>
      <c r="G51" s="83"/>
      <c r="H51" s="78"/>
      <c r="I51" s="19"/>
    </row>
    <row r="52" spans="1:9" x14ac:dyDescent="0.2">
      <c r="A52" s="47" t="s">
        <v>171</v>
      </c>
      <c r="B52" s="55" t="s">
        <v>63</v>
      </c>
      <c r="C52" s="55" t="s">
        <v>551</v>
      </c>
      <c r="D52" s="178" t="s">
        <v>873</v>
      </c>
      <c r="E52" s="179"/>
      <c r="F52" s="55" t="s">
        <v>1001</v>
      </c>
      <c r="G52" s="64">
        <v>10</v>
      </c>
      <c r="H52" s="102">
        <v>0</v>
      </c>
      <c r="I52" s="19"/>
    </row>
    <row r="53" spans="1:9" x14ac:dyDescent="0.2">
      <c r="A53" s="49" t="s">
        <v>172</v>
      </c>
      <c r="B53" s="57" t="s">
        <v>63</v>
      </c>
      <c r="C53" s="57" t="s">
        <v>552</v>
      </c>
      <c r="D53" s="186" t="s">
        <v>874</v>
      </c>
      <c r="E53" s="187"/>
      <c r="F53" s="57" t="s">
        <v>1001</v>
      </c>
      <c r="G53" s="65">
        <v>11</v>
      </c>
      <c r="H53" s="103">
        <v>0</v>
      </c>
      <c r="I53" s="19"/>
    </row>
    <row r="54" spans="1:9" x14ac:dyDescent="0.2">
      <c r="A54" s="47" t="s">
        <v>173</v>
      </c>
      <c r="B54" s="55" t="s">
        <v>63</v>
      </c>
      <c r="C54" s="55" t="s">
        <v>553</v>
      </c>
      <c r="D54" s="178" t="s">
        <v>875</v>
      </c>
      <c r="E54" s="179"/>
      <c r="F54" s="55" t="s">
        <v>1002</v>
      </c>
      <c r="G54" s="64">
        <v>1</v>
      </c>
      <c r="H54" s="102">
        <v>0</v>
      </c>
      <c r="I54" s="19"/>
    </row>
    <row r="55" spans="1:9" x14ac:dyDescent="0.2">
      <c r="A55" s="49" t="s">
        <v>174</v>
      </c>
      <c r="B55" s="57" t="s">
        <v>63</v>
      </c>
      <c r="C55" s="57" t="s">
        <v>554</v>
      </c>
      <c r="D55" s="186" t="s">
        <v>876</v>
      </c>
      <c r="E55" s="187"/>
      <c r="F55" s="57" t="s">
        <v>1001</v>
      </c>
      <c r="G55" s="65">
        <v>11</v>
      </c>
      <c r="H55" s="103">
        <v>0</v>
      </c>
      <c r="I55" s="19"/>
    </row>
    <row r="56" spans="1:9" x14ac:dyDescent="0.2">
      <c r="A56" s="47" t="s">
        <v>105</v>
      </c>
      <c r="B56" s="55" t="s">
        <v>63</v>
      </c>
      <c r="C56" s="55" t="s">
        <v>555</v>
      </c>
      <c r="D56" s="178" t="s">
        <v>877</v>
      </c>
      <c r="E56" s="179"/>
      <c r="F56" s="55" t="s">
        <v>1000</v>
      </c>
      <c r="G56" s="64">
        <v>31.280999999999999</v>
      </c>
      <c r="H56" s="102">
        <v>0</v>
      </c>
      <c r="I56" s="19"/>
    </row>
    <row r="57" spans="1:9" x14ac:dyDescent="0.2">
      <c r="A57" s="47" t="s">
        <v>175</v>
      </c>
      <c r="B57" s="55" t="s">
        <v>64</v>
      </c>
      <c r="C57" s="55" t="s">
        <v>551</v>
      </c>
      <c r="D57" s="178" t="s">
        <v>873</v>
      </c>
      <c r="E57" s="179"/>
      <c r="F57" s="55" t="s">
        <v>1001</v>
      </c>
      <c r="G57" s="64">
        <v>10</v>
      </c>
      <c r="H57" s="102">
        <v>0</v>
      </c>
      <c r="I57" s="19"/>
    </row>
    <row r="58" spans="1:9" x14ac:dyDescent="0.2">
      <c r="A58" s="49" t="s">
        <v>176</v>
      </c>
      <c r="B58" s="57" t="s">
        <v>64</v>
      </c>
      <c r="C58" s="57" t="s">
        <v>633</v>
      </c>
      <c r="D58" s="186" t="s">
        <v>874</v>
      </c>
      <c r="E58" s="187"/>
      <c r="F58" s="57" t="s">
        <v>1001</v>
      </c>
      <c r="G58" s="65">
        <v>11</v>
      </c>
      <c r="H58" s="103">
        <v>0</v>
      </c>
      <c r="I58" s="19"/>
    </row>
    <row r="59" spans="1:9" x14ac:dyDescent="0.2">
      <c r="A59" s="47" t="s">
        <v>177</v>
      </c>
      <c r="B59" s="55" t="s">
        <v>64</v>
      </c>
      <c r="C59" s="55" t="s">
        <v>634</v>
      </c>
      <c r="D59" s="178" t="s">
        <v>875</v>
      </c>
      <c r="E59" s="179"/>
      <c r="F59" s="55" t="s">
        <v>1002</v>
      </c>
      <c r="G59" s="64">
        <v>1</v>
      </c>
      <c r="H59" s="102">
        <v>0</v>
      </c>
      <c r="I59" s="19"/>
    </row>
    <row r="60" spans="1:9" x14ac:dyDescent="0.2">
      <c r="A60" s="49" t="s">
        <v>178</v>
      </c>
      <c r="B60" s="57" t="s">
        <v>64</v>
      </c>
      <c r="C60" s="57" t="s">
        <v>635</v>
      </c>
      <c r="D60" s="186" t="s">
        <v>876</v>
      </c>
      <c r="E60" s="187"/>
      <c r="F60" s="57" t="s">
        <v>1001</v>
      </c>
      <c r="G60" s="65">
        <v>11</v>
      </c>
      <c r="H60" s="103">
        <v>0</v>
      </c>
      <c r="I60" s="19"/>
    </row>
    <row r="61" spans="1:9" x14ac:dyDescent="0.2">
      <c r="A61" s="47" t="s">
        <v>179</v>
      </c>
      <c r="B61" s="55" t="s">
        <v>64</v>
      </c>
      <c r="C61" s="55" t="s">
        <v>555</v>
      </c>
      <c r="D61" s="178" t="s">
        <v>877</v>
      </c>
      <c r="E61" s="179"/>
      <c r="F61" s="55" t="s">
        <v>1000</v>
      </c>
      <c r="G61" s="64">
        <v>31.280999999999999</v>
      </c>
      <c r="H61" s="102">
        <v>0</v>
      </c>
      <c r="I61" s="19"/>
    </row>
    <row r="62" spans="1:9" x14ac:dyDescent="0.2">
      <c r="A62" s="47" t="s">
        <v>180</v>
      </c>
      <c r="B62" s="55" t="s">
        <v>65</v>
      </c>
      <c r="C62" s="55" t="s">
        <v>551</v>
      </c>
      <c r="D62" s="178" t="s">
        <v>873</v>
      </c>
      <c r="E62" s="179"/>
      <c r="F62" s="55" t="s">
        <v>1001</v>
      </c>
      <c r="G62" s="64">
        <v>10</v>
      </c>
      <c r="H62" s="102">
        <v>0</v>
      </c>
      <c r="I62" s="19"/>
    </row>
    <row r="63" spans="1:9" x14ac:dyDescent="0.2">
      <c r="A63" s="49" t="s">
        <v>181</v>
      </c>
      <c r="B63" s="57" t="s">
        <v>65</v>
      </c>
      <c r="C63" s="57" t="s">
        <v>695</v>
      </c>
      <c r="D63" s="186" t="s">
        <v>874</v>
      </c>
      <c r="E63" s="187"/>
      <c r="F63" s="57" t="s">
        <v>1001</v>
      </c>
      <c r="G63" s="65">
        <v>11</v>
      </c>
      <c r="H63" s="103">
        <v>0</v>
      </c>
      <c r="I63" s="19"/>
    </row>
    <row r="64" spans="1:9" x14ac:dyDescent="0.2">
      <c r="A64" s="47" t="s">
        <v>182</v>
      </c>
      <c r="B64" s="55" t="s">
        <v>65</v>
      </c>
      <c r="C64" s="55" t="s">
        <v>696</v>
      </c>
      <c r="D64" s="178" t="s">
        <v>875</v>
      </c>
      <c r="E64" s="179"/>
      <c r="F64" s="55" t="s">
        <v>1002</v>
      </c>
      <c r="G64" s="64">
        <v>1</v>
      </c>
      <c r="H64" s="102">
        <v>0</v>
      </c>
      <c r="I64" s="19"/>
    </row>
    <row r="65" spans="1:9" x14ac:dyDescent="0.2">
      <c r="A65" s="49" t="s">
        <v>183</v>
      </c>
      <c r="B65" s="57" t="s">
        <v>65</v>
      </c>
      <c r="C65" s="57" t="s">
        <v>697</v>
      </c>
      <c r="D65" s="186" t="s">
        <v>876</v>
      </c>
      <c r="E65" s="187"/>
      <c r="F65" s="57" t="s">
        <v>1001</v>
      </c>
      <c r="G65" s="65">
        <v>11</v>
      </c>
      <c r="H65" s="103">
        <v>0</v>
      </c>
      <c r="I65" s="19"/>
    </row>
    <row r="66" spans="1:9" x14ac:dyDescent="0.2">
      <c r="A66" s="47" t="s">
        <v>184</v>
      </c>
      <c r="B66" s="55" t="s">
        <v>65</v>
      </c>
      <c r="C66" s="55" t="s">
        <v>555</v>
      </c>
      <c r="D66" s="178" t="s">
        <v>877</v>
      </c>
      <c r="E66" s="179"/>
      <c r="F66" s="55" t="s">
        <v>1000</v>
      </c>
      <c r="G66" s="64">
        <v>31.280999999999999</v>
      </c>
      <c r="H66" s="102">
        <v>0</v>
      </c>
      <c r="I66" s="19"/>
    </row>
    <row r="67" spans="1:9" x14ac:dyDescent="0.2">
      <c r="A67" s="47" t="s">
        <v>185</v>
      </c>
      <c r="B67" s="55" t="s">
        <v>66</v>
      </c>
      <c r="C67" s="55" t="s">
        <v>551</v>
      </c>
      <c r="D67" s="178" t="s">
        <v>873</v>
      </c>
      <c r="E67" s="179"/>
      <c r="F67" s="55" t="s">
        <v>1001</v>
      </c>
      <c r="G67" s="64">
        <v>10</v>
      </c>
      <c r="H67" s="102">
        <v>0</v>
      </c>
      <c r="I67" s="19"/>
    </row>
    <row r="68" spans="1:9" x14ac:dyDescent="0.2">
      <c r="A68" s="49" t="s">
        <v>186</v>
      </c>
      <c r="B68" s="57" t="s">
        <v>66</v>
      </c>
      <c r="C68" s="57" t="s">
        <v>755</v>
      </c>
      <c r="D68" s="186" t="s">
        <v>874</v>
      </c>
      <c r="E68" s="187"/>
      <c r="F68" s="57" t="s">
        <v>1001</v>
      </c>
      <c r="G68" s="65">
        <v>11</v>
      </c>
      <c r="H68" s="103">
        <v>0</v>
      </c>
      <c r="I68" s="19"/>
    </row>
    <row r="69" spans="1:9" x14ac:dyDescent="0.2">
      <c r="A69" s="47" t="s">
        <v>187</v>
      </c>
      <c r="B69" s="55" t="s">
        <v>66</v>
      </c>
      <c r="C69" s="55" t="s">
        <v>756</v>
      </c>
      <c r="D69" s="178" t="s">
        <v>875</v>
      </c>
      <c r="E69" s="179"/>
      <c r="F69" s="55" t="s">
        <v>1002</v>
      </c>
      <c r="G69" s="64">
        <v>1</v>
      </c>
      <c r="H69" s="102">
        <v>0</v>
      </c>
      <c r="I69" s="19"/>
    </row>
    <row r="70" spans="1:9" x14ac:dyDescent="0.2">
      <c r="A70" s="49" t="s">
        <v>188</v>
      </c>
      <c r="B70" s="57" t="s">
        <v>66</v>
      </c>
      <c r="C70" s="57" t="s">
        <v>757</v>
      </c>
      <c r="D70" s="186" t="s">
        <v>876</v>
      </c>
      <c r="E70" s="187"/>
      <c r="F70" s="57" t="s">
        <v>1001</v>
      </c>
      <c r="G70" s="65">
        <v>11</v>
      </c>
      <c r="H70" s="103">
        <v>0</v>
      </c>
      <c r="I70" s="19"/>
    </row>
    <row r="71" spans="1:9" x14ac:dyDescent="0.2">
      <c r="A71" s="47" t="s">
        <v>189</v>
      </c>
      <c r="B71" s="55" t="s">
        <v>66</v>
      </c>
      <c r="C71" s="55" t="s">
        <v>555</v>
      </c>
      <c r="D71" s="178" t="s">
        <v>877</v>
      </c>
      <c r="E71" s="179"/>
      <c r="F71" s="55" t="s">
        <v>1000</v>
      </c>
      <c r="G71" s="64">
        <v>31.280999999999999</v>
      </c>
      <c r="H71" s="102">
        <v>0</v>
      </c>
      <c r="I71" s="19"/>
    </row>
    <row r="72" spans="1:9" x14ac:dyDescent="0.2">
      <c r="A72" s="93"/>
      <c r="B72" s="54"/>
      <c r="C72" s="54" t="s">
        <v>115</v>
      </c>
      <c r="D72" s="176" t="s">
        <v>134</v>
      </c>
      <c r="E72" s="177"/>
      <c r="F72" s="54"/>
      <c r="G72" s="83"/>
      <c r="H72" s="78"/>
      <c r="I72" s="19"/>
    </row>
    <row r="73" spans="1:9" x14ac:dyDescent="0.2">
      <c r="A73" s="47" t="s">
        <v>190</v>
      </c>
      <c r="B73" s="55" t="s">
        <v>63</v>
      </c>
      <c r="C73" s="55" t="s">
        <v>556</v>
      </c>
      <c r="D73" s="178" t="s">
        <v>879</v>
      </c>
      <c r="E73" s="179"/>
      <c r="F73" s="55" t="s">
        <v>1003</v>
      </c>
      <c r="G73" s="64">
        <v>2</v>
      </c>
      <c r="H73" s="102">
        <v>0</v>
      </c>
      <c r="I73" s="19"/>
    </row>
    <row r="74" spans="1:9" x14ac:dyDescent="0.2">
      <c r="A74" s="49" t="s">
        <v>191</v>
      </c>
      <c r="B74" s="57" t="s">
        <v>63</v>
      </c>
      <c r="C74" s="57" t="s">
        <v>557</v>
      </c>
      <c r="D74" s="186" t="s">
        <v>880</v>
      </c>
      <c r="E74" s="187"/>
      <c r="F74" s="57" t="s">
        <v>1004</v>
      </c>
      <c r="G74" s="65">
        <v>2</v>
      </c>
      <c r="H74" s="103">
        <v>0</v>
      </c>
      <c r="I74" s="19"/>
    </row>
    <row r="75" spans="1:9" x14ac:dyDescent="0.2">
      <c r="A75" s="47" t="s">
        <v>192</v>
      </c>
      <c r="B75" s="55" t="s">
        <v>63</v>
      </c>
      <c r="C75" s="55" t="s">
        <v>558</v>
      </c>
      <c r="D75" s="178" t="s">
        <v>881</v>
      </c>
      <c r="E75" s="179"/>
      <c r="F75" s="55" t="s">
        <v>1002</v>
      </c>
      <c r="G75" s="64">
        <v>5</v>
      </c>
      <c r="H75" s="102">
        <v>0</v>
      </c>
      <c r="I75" s="19"/>
    </row>
    <row r="76" spans="1:9" x14ac:dyDescent="0.2">
      <c r="A76" s="47" t="s">
        <v>106</v>
      </c>
      <c r="B76" s="55" t="s">
        <v>63</v>
      </c>
      <c r="C76" s="55" t="s">
        <v>559</v>
      </c>
      <c r="D76" s="178" t="s">
        <v>882</v>
      </c>
      <c r="E76" s="179"/>
      <c r="F76" s="55" t="s">
        <v>1000</v>
      </c>
      <c r="G76" s="64">
        <v>16.940000000000001</v>
      </c>
      <c r="H76" s="102">
        <v>0</v>
      </c>
      <c r="I76" s="19"/>
    </row>
    <row r="77" spans="1:9" x14ac:dyDescent="0.2">
      <c r="A77" s="49" t="s">
        <v>107</v>
      </c>
      <c r="B77" s="57" t="s">
        <v>63</v>
      </c>
      <c r="C77" s="57" t="s">
        <v>560</v>
      </c>
      <c r="D77" s="186" t="s">
        <v>884</v>
      </c>
      <c r="E77" s="187"/>
      <c r="F77" s="57" t="s">
        <v>1001</v>
      </c>
      <c r="G77" s="65">
        <v>5</v>
      </c>
      <c r="H77" s="103">
        <v>0</v>
      </c>
      <c r="I77" s="19"/>
    </row>
    <row r="78" spans="1:9" x14ac:dyDescent="0.2">
      <c r="A78" s="47" t="s">
        <v>193</v>
      </c>
      <c r="B78" s="55" t="s">
        <v>64</v>
      </c>
      <c r="C78" s="55" t="s">
        <v>556</v>
      </c>
      <c r="D78" s="178" t="s">
        <v>879</v>
      </c>
      <c r="E78" s="179"/>
      <c r="F78" s="55" t="s">
        <v>1003</v>
      </c>
      <c r="G78" s="64">
        <v>2</v>
      </c>
      <c r="H78" s="102">
        <v>0</v>
      </c>
      <c r="I78" s="19"/>
    </row>
    <row r="79" spans="1:9" x14ac:dyDescent="0.2">
      <c r="A79" s="49" t="s">
        <v>194</v>
      </c>
      <c r="B79" s="57" t="s">
        <v>64</v>
      </c>
      <c r="C79" s="57" t="s">
        <v>636</v>
      </c>
      <c r="D79" s="186" t="s">
        <v>880</v>
      </c>
      <c r="E79" s="187"/>
      <c r="F79" s="57" t="s">
        <v>1004</v>
      </c>
      <c r="G79" s="65">
        <v>2</v>
      </c>
      <c r="H79" s="103">
        <v>0</v>
      </c>
      <c r="I79" s="19"/>
    </row>
    <row r="80" spans="1:9" x14ac:dyDescent="0.2">
      <c r="A80" s="47" t="s">
        <v>108</v>
      </c>
      <c r="B80" s="55" t="s">
        <v>64</v>
      </c>
      <c r="C80" s="55" t="s">
        <v>559</v>
      </c>
      <c r="D80" s="178" t="s">
        <v>882</v>
      </c>
      <c r="E80" s="179"/>
      <c r="F80" s="55" t="s">
        <v>1000</v>
      </c>
      <c r="G80" s="64">
        <v>16.940000000000001</v>
      </c>
      <c r="H80" s="102">
        <v>0</v>
      </c>
      <c r="I80" s="19"/>
    </row>
    <row r="81" spans="1:9" x14ac:dyDescent="0.2">
      <c r="A81" s="49" t="s">
        <v>195</v>
      </c>
      <c r="B81" s="57" t="s">
        <v>64</v>
      </c>
      <c r="C81" s="57" t="s">
        <v>637</v>
      </c>
      <c r="D81" s="186" t="s">
        <v>884</v>
      </c>
      <c r="E81" s="187"/>
      <c r="F81" s="57" t="s">
        <v>1001</v>
      </c>
      <c r="G81" s="65">
        <v>5</v>
      </c>
      <c r="H81" s="103">
        <v>0</v>
      </c>
      <c r="I81" s="19"/>
    </row>
    <row r="82" spans="1:9" x14ac:dyDescent="0.2">
      <c r="A82" s="47" t="s">
        <v>196</v>
      </c>
      <c r="B82" s="55" t="s">
        <v>65</v>
      </c>
      <c r="C82" s="55" t="s">
        <v>556</v>
      </c>
      <c r="D82" s="178" t="s">
        <v>879</v>
      </c>
      <c r="E82" s="179"/>
      <c r="F82" s="55" t="s">
        <v>1003</v>
      </c>
      <c r="G82" s="64">
        <v>2</v>
      </c>
      <c r="H82" s="102">
        <v>0</v>
      </c>
      <c r="I82" s="19"/>
    </row>
    <row r="83" spans="1:9" x14ac:dyDescent="0.2">
      <c r="A83" s="49" t="s">
        <v>197</v>
      </c>
      <c r="B83" s="57" t="s">
        <v>65</v>
      </c>
      <c r="C83" s="57" t="s">
        <v>698</v>
      </c>
      <c r="D83" s="186" t="s">
        <v>880</v>
      </c>
      <c r="E83" s="187"/>
      <c r="F83" s="57" t="s">
        <v>1004</v>
      </c>
      <c r="G83" s="65">
        <v>2</v>
      </c>
      <c r="H83" s="103">
        <v>0</v>
      </c>
      <c r="I83" s="19"/>
    </row>
    <row r="84" spans="1:9" x14ac:dyDescent="0.2">
      <c r="A84" s="47" t="s">
        <v>198</v>
      </c>
      <c r="B84" s="55" t="s">
        <v>65</v>
      </c>
      <c r="C84" s="55" t="s">
        <v>559</v>
      </c>
      <c r="D84" s="178" t="s">
        <v>882</v>
      </c>
      <c r="E84" s="179"/>
      <c r="F84" s="55" t="s">
        <v>1000</v>
      </c>
      <c r="G84" s="64">
        <v>16.940000000000001</v>
      </c>
      <c r="H84" s="102">
        <v>0</v>
      </c>
      <c r="I84" s="19"/>
    </row>
    <row r="85" spans="1:9" x14ac:dyDescent="0.2">
      <c r="A85" s="49" t="s">
        <v>199</v>
      </c>
      <c r="B85" s="57" t="s">
        <v>65</v>
      </c>
      <c r="C85" s="57" t="s">
        <v>699</v>
      </c>
      <c r="D85" s="186" t="s">
        <v>884</v>
      </c>
      <c r="E85" s="187"/>
      <c r="F85" s="57" t="s">
        <v>1001</v>
      </c>
      <c r="G85" s="65">
        <v>5</v>
      </c>
      <c r="H85" s="103">
        <v>0</v>
      </c>
      <c r="I85" s="19"/>
    </row>
    <row r="86" spans="1:9" x14ac:dyDescent="0.2">
      <c r="A86" s="47" t="s">
        <v>200</v>
      </c>
      <c r="B86" s="55" t="s">
        <v>66</v>
      </c>
      <c r="C86" s="55" t="s">
        <v>556</v>
      </c>
      <c r="D86" s="178" t="s">
        <v>879</v>
      </c>
      <c r="E86" s="179"/>
      <c r="F86" s="55" t="s">
        <v>1003</v>
      </c>
      <c r="G86" s="64">
        <v>2</v>
      </c>
      <c r="H86" s="102">
        <v>0</v>
      </c>
      <c r="I86" s="19"/>
    </row>
    <row r="87" spans="1:9" x14ac:dyDescent="0.2">
      <c r="A87" s="49" t="s">
        <v>87</v>
      </c>
      <c r="B87" s="57" t="s">
        <v>66</v>
      </c>
      <c r="C87" s="57" t="s">
        <v>758</v>
      </c>
      <c r="D87" s="186" t="s">
        <v>880</v>
      </c>
      <c r="E87" s="187"/>
      <c r="F87" s="57" t="s">
        <v>1004</v>
      </c>
      <c r="G87" s="65">
        <v>2</v>
      </c>
      <c r="H87" s="103">
        <v>0</v>
      </c>
      <c r="I87" s="19"/>
    </row>
    <row r="88" spans="1:9" x14ac:dyDescent="0.2">
      <c r="A88" s="47" t="s">
        <v>89</v>
      </c>
      <c r="B88" s="55" t="s">
        <v>66</v>
      </c>
      <c r="C88" s="55" t="s">
        <v>559</v>
      </c>
      <c r="D88" s="178" t="s">
        <v>882</v>
      </c>
      <c r="E88" s="179"/>
      <c r="F88" s="55" t="s">
        <v>1000</v>
      </c>
      <c r="G88" s="64">
        <v>16.940000000000001</v>
      </c>
      <c r="H88" s="102">
        <v>0</v>
      </c>
      <c r="I88" s="19"/>
    </row>
    <row r="89" spans="1:9" x14ac:dyDescent="0.2">
      <c r="A89" s="49" t="s">
        <v>201</v>
      </c>
      <c r="B89" s="57" t="s">
        <v>66</v>
      </c>
      <c r="C89" s="57" t="s">
        <v>759</v>
      </c>
      <c r="D89" s="186" t="s">
        <v>884</v>
      </c>
      <c r="E89" s="187"/>
      <c r="F89" s="57" t="s">
        <v>1001</v>
      </c>
      <c r="G89" s="65">
        <v>5</v>
      </c>
      <c r="H89" s="103">
        <v>0</v>
      </c>
      <c r="I89" s="19"/>
    </row>
    <row r="90" spans="1:9" x14ac:dyDescent="0.2">
      <c r="A90" s="93"/>
      <c r="B90" s="54"/>
      <c r="C90" s="54" t="s">
        <v>116</v>
      </c>
      <c r="D90" s="176" t="s">
        <v>135</v>
      </c>
      <c r="E90" s="177"/>
      <c r="F90" s="54"/>
      <c r="G90" s="83"/>
      <c r="H90" s="78"/>
      <c r="I90" s="19"/>
    </row>
    <row r="91" spans="1:9" x14ac:dyDescent="0.2">
      <c r="A91" s="47" t="s">
        <v>90</v>
      </c>
      <c r="B91" s="55" t="s">
        <v>63</v>
      </c>
      <c r="C91" s="55" t="s">
        <v>561</v>
      </c>
      <c r="D91" s="178" t="s">
        <v>885</v>
      </c>
      <c r="E91" s="179"/>
      <c r="F91" s="55" t="s">
        <v>1002</v>
      </c>
      <c r="G91" s="64">
        <v>1</v>
      </c>
      <c r="H91" s="102">
        <v>0</v>
      </c>
      <c r="I91" s="19"/>
    </row>
    <row r="92" spans="1:9" x14ac:dyDescent="0.2">
      <c r="A92" s="49" t="s">
        <v>91</v>
      </c>
      <c r="B92" s="57" t="s">
        <v>63</v>
      </c>
      <c r="C92" s="57" t="s">
        <v>562</v>
      </c>
      <c r="D92" s="186" t="s">
        <v>886</v>
      </c>
      <c r="E92" s="187"/>
      <c r="F92" s="57" t="s">
        <v>1004</v>
      </c>
      <c r="G92" s="65">
        <v>1</v>
      </c>
      <c r="H92" s="103">
        <v>0</v>
      </c>
      <c r="I92" s="19"/>
    </row>
    <row r="93" spans="1:9" x14ac:dyDescent="0.2">
      <c r="A93" s="47" t="s">
        <v>202</v>
      </c>
      <c r="B93" s="55" t="s">
        <v>63</v>
      </c>
      <c r="C93" s="55" t="s">
        <v>563</v>
      </c>
      <c r="D93" s="178" t="s">
        <v>887</v>
      </c>
      <c r="E93" s="179"/>
      <c r="F93" s="55" t="s">
        <v>1002</v>
      </c>
      <c r="G93" s="64">
        <v>1</v>
      </c>
      <c r="H93" s="102">
        <v>0</v>
      </c>
      <c r="I93" s="19"/>
    </row>
    <row r="94" spans="1:9" x14ac:dyDescent="0.2">
      <c r="A94" s="49" t="s">
        <v>203</v>
      </c>
      <c r="B94" s="57" t="s">
        <v>63</v>
      </c>
      <c r="C94" s="57" t="s">
        <v>564</v>
      </c>
      <c r="D94" s="186" t="s">
        <v>888</v>
      </c>
      <c r="E94" s="187"/>
      <c r="F94" s="57" t="s">
        <v>1001</v>
      </c>
      <c r="G94" s="65">
        <v>5</v>
      </c>
      <c r="H94" s="103">
        <v>0</v>
      </c>
      <c r="I94" s="19"/>
    </row>
    <row r="95" spans="1:9" x14ac:dyDescent="0.2">
      <c r="A95" s="49" t="s">
        <v>204</v>
      </c>
      <c r="B95" s="57" t="s">
        <v>63</v>
      </c>
      <c r="C95" s="57" t="s">
        <v>565</v>
      </c>
      <c r="D95" s="186" t="s">
        <v>889</v>
      </c>
      <c r="E95" s="187"/>
      <c r="F95" s="57" t="s">
        <v>1005</v>
      </c>
      <c r="G95" s="65">
        <v>4</v>
      </c>
      <c r="H95" s="103">
        <v>0</v>
      </c>
      <c r="I95" s="19"/>
    </row>
    <row r="96" spans="1:9" x14ac:dyDescent="0.2">
      <c r="A96" s="47" t="s">
        <v>205</v>
      </c>
      <c r="B96" s="55" t="s">
        <v>63</v>
      </c>
      <c r="C96" s="55" t="s">
        <v>566</v>
      </c>
      <c r="D96" s="178" t="s">
        <v>890</v>
      </c>
      <c r="E96" s="179"/>
      <c r="F96" s="55" t="s">
        <v>1002</v>
      </c>
      <c r="G96" s="64">
        <v>4</v>
      </c>
      <c r="H96" s="102">
        <v>0</v>
      </c>
      <c r="I96" s="19"/>
    </row>
    <row r="97" spans="1:9" x14ac:dyDescent="0.2">
      <c r="A97" s="49" t="s">
        <v>206</v>
      </c>
      <c r="B97" s="57" t="s">
        <v>63</v>
      </c>
      <c r="C97" s="57" t="s">
        <v>567</v>
      </c>
      <c r="D97" s="186" t="s">
        <v>891</v>
      </c>
      <c r="E97" s="187"/>
      <c r="F97" s="57" t="s">
        <v>1001</v>
      </c>
      <c r="G97" s="65">
        <v>2</v>
      </c>
      <c r="H97" s="103">
        <v>0</v>
      </c>
      <c r="I97" s="19"/>
    </row>
    <row r="98" spans="1:9" x14ac:dyDescent="0.2">
      <c r="A98" s="47" t="s">
        <v>207</v>
      </c>
      <c r="B98" s="55" t="s">
        <v>63</v>
      </c>
      <c r="C98" s="55" t="s">
        <v>568</v>
      </c>
      <c r="D98" s="178" t="s">
        <v>892</v>
      </c>
      <c r="E98" s="179"/>
      <c r="F98" s="55" t="s">
        <v>1002</v>
      </c>
      <c r="G98" s="64">
        <v>1</v>
      </c>
      <c r="H98" s="102">
        <v>0</v>
      </c>
      <c r="I98" s="19"/>
    </row>
    <row r="99" spans="1:9" x14ac:dyDescent="0.2">
      <c r="A99" s="49" t="s">
        <v>208</v>
      </c>
      <c r="B99" s="57" t="s">
        <v>63</v>
      </c>
      <c r="C99" s="57" t="s">
        <v>569</v>
      </c>
      <c r="D99" s="186" t="s">
        <v>894</v>
      </c>
      <c r="E99" s="187"/>
      <c r="F99" s="57" t="s">
        <v>1001</v>
      </c>
      <c r="G99" s="65">
        <v>5</v>
      </c>
      <c r="H99" s="103">
        <v>0</v>
      </c>
      <c r="I99" s="19"/>
    </row>
    <row r="100" spans="1:9" x14ac:dyDescent="0.2">
      <c r="A100" s="47" t="s">
        <v>209</v>
      </c>
      <c r="B100" s="55" t="s">
        <v>63</v>
      </c>
      <c r="C100" s="55" t="s">
        <v>570</v>
      </c>
      <c r="D100" s="178" t="s">
        <v>895</v>
      </c>
      <c r="E100" s="179"/>
      <c r="F100" s="55" t="s">
        <v>1002</v>
      </c>
      <c r="G100" s="64">
        <v>1</v>
      </c>
      <c r="H100" s="102">
        <v>0</v>
      </c>
      <c r="I100" s="19"/>
    </row>
    <row r="101" spans="1:9" x14ac:dyDescent="0.2">
      <c r="A101" s="47" t="s">
        <v>210</v>
      </c>
      <c r="B101" s="55" t="s">
        <v>63</v>
      </c>
      <c r="C101" s="55" t="s">
        <v>571</v>
      </c>
      <c r="D101" s="178" t="s">
        <v>896</v>
      </c>
      <c r="E101" s="179"/>
      <c r="F101" s="55" t="s">
        <v>1000</v>
      </c>
      <c r="G101" s="64">
        <v>174.92</v>
      </c>
      <c r="H101" s="102">
        <v>0</v>
      </c>
      <c r="I101" s="19"/>
    </row>
    <row r="102" spans="1:9" x14ac:dyDescent="0.2">
      <c r="A102" s="49" t="s">
        <v>211</v>
      </c>
      <c r="B102" s="57" t="s">
        <v>63</v>
      </c>
      <c r="C102" s="57" t="s">
        <v>572</v>
      </c>
      <c r="D102" s="186" t="s">
        <v>898</v>
      </c>
      <c r="E102" s="187"/>
      <c r="F102" s="57" t="s">
        <v>1002</v>
      </c>
      <c r="G102" s="65">
        <v>1</v>
      </c>
      <c r="H102" s="103">
        <v>0</v>
      </c>
      <c r="I102" s="19"/>
    </row>
    <row r="103" spans="1:9" x14ac:dyDescent="0.2">
      <c r="A103" s="47" t="s">
        <v>212</v>
      </c>
      <c r="B103" s="55" t="s">
        <v>64</v>
      </c>
      <c r="C103" s="55" t="s">
        <v>638</v>
      </c>
      <c r="D103" s="178" t="s">
        <v>885</v>
      </c>
      <c r="E103" s="179"/>
      <c r="F103" s="55" t="s">
        <v>1002</v>
      </c>
      <c r="G103" s="64">
        <v>1</v>
      </c>
      <c r="H103" s="102">
        <v>0</v>
      </c>
      <c r="I103" s="19"/>
    </row>
    <row r="104" spans="1:9" x14ac:dyDescent="0.2">
      <c r="A104" s="49" t="s">
        <v>213</v>
      </c>
      <c r="B104" s="57" t="s">
        <v>64</v>
      </c>
      <c r="C104" s="57" t="s">
        <v>639</v>
      </c>
      <c r="D104" s="186" t="s">
        <v>886</v>
      </c>
      <c r="E104" s="187"/>
      <c r="F104" s="57" t="s">
        <v>1004</v>
      </c>
      <c r="G104" s="65">
        <v>1</v>
      </c>
      <c r="H104" s="103">
        <v>0</v>
      </c>
      <c r="I104" s="19"/>
    </row>
    <row r="105" spans="1:9" x14ac:dyDescent="0.2">
      <c r="A105" s="47" t="s">
        <v>214</v>
      </c>
      <c r="B105" s="55" t="s">
        <v>64</v>
      </c>
      <c r="C105" s="55" t="s">
        <v>640</v>
      </c>
      <c r="D105" s="178" t="s">
        <v>887</v>
      </c>
      <c r="E105" s="179"/>
      <c r="F105" s="55" t="s">
        <v>1002</v>
      </c>
      <c r="G105" s="64">
        <v>1</v>
      </c>
      <c r="H105" s="102">
        <v>0</v>
      </c>
      <c r="I105" s="19"/>
    </row>
    <row r="106" spans="1:9" x14ac:dyDescent="0.2">
      <c r="A106" s="49" t="s">
        <v>215</v>
      </c>
      <c r="B106" s="57" t="s">
        <v>64</v>
      </c>
      <c r="C106" s="57" t="s">
        <v>641</v>
      </c>
      <c r="D106" s="186" t="s">
        <v>888</v>
      </c>
      <c r="E106" s="187"/>
      <c r="F106" s="57" t="s">
        <v>1001</v>
      </c>
      <c r="G106" s="65">
        <v>5</v>
      </c>
      <c r="H106" s="103">
        <v>0</v>
      </c>
      <c r="I106" s="19"/>
    </row>
    <row r="107" spans="1:9" x14ac:dyDescent="0.2">
      <c r="A107" s="47" t="s">
        <v>216</v>
      </c>
      <c r="B107" s="55" t="s">
        <v>64</v>
      </c>
      <c r="C107" s="55" t="s">
        <v>642</v>
      </c>
      <c r="D107" s="178" t="s">
        <v>881</v>
      </c>
      <c r="E107" s="179"/>
      <c r="F107" s="55" t="s">
        <v>1002</v>
      </c>
      <c r="G107" s="64">
        <v>5</v>
      </c>
      <c r="H107" s="102">
        <v>0</v>
      </c>
      <c r="I107" s="19"/>
    </row>
    <row r="108" spans="1:9" x14ac:dyDescent="0.2">
      <c r="A108" s="49" t="s">
        <v>217</v>
      </c>
      <c r="B108" s="57" t="s">
        <v>64</v>
      </c>
      <c r="C108" s="57" t="s">
        <v>643</v>
      </c>
      <c r="D108" s="186" t="s">
        <v>889</v>
      </c>
      <c r="E108" s="187"/>
      <c r="F108" s="57" t="s">
        <v>1005</v>
      </c>
      <c r="G108" s="65">
        <v>4</v>
      </c>
      <c r="H108" s="103">
        <v>0</v>
      </c>
      <c r="I108" s="19"/>
    </row>
    <row r="109" spans="1:9" x14ac:dyDescent="0.2">
      <c r="A109" s="47" t="s">
        <v>218</v>
      </c>
      <c r="B109" s="55" t="s">
        <v>64</v>
      </c>
      <c r="C109" s="55" t="s">
        <v>644</v>
      </c>
      <c r="D109" s="178" t="s">
        <v>890</v>
      </c>
      <c r="E109" s="179"/>
      <c r="F109" s="55" t="s">
        <v>1002</v>
      </c>
      <c r="G109" s="64">
        <v>4</v>
      </c>
      <c r="H109" s="102">
        <v>0</v>
      </c>
      <c r="I109" s="19"/>
    </row>
    <row r="110" spans="1:9" x14ac:dyDescent="0.2">
      <c r="A110" s="49" t="s">
        <v>219</v>
      </c>
      <c r="B110" s="57" t="s">
        <v>64</v>
      </c>
      <c r="C110" s="57" t="s">
        <v>645</v>
      </c>
      <c r="D110" s="186" t="s">
        <v>891</v>
      </c>
      <c r="E110" s="187"/>
      <c r="F110" s="57" t="s">
        <v>1001</v>
      </c>
      <c r="G110" s="65">
        <v>2</v>
      </c>
      <c r="H110" s="103">
        <v>0</v>
      </c>
      <c r="I110" s="19"/>
    </row>
    <row r="111" spans="1:9" x14ac:dyDescent="0.2">
      <c r="A111" s="47" t="s">
        <v>220</v>
      </c>
      <c r="B111" s="55" t="s">
        <v>64</v>
      </c>
      <c r="C111" s="55" t="s">
        <v>646</v>
      </c>
      <c r="D111" s="178" t="s">
        <v>892</v>
      </c>
      <c r="E111" s="179"/>
      <c r="F111" s="55" t="s">
        <v>1002</v>
      </c>
      <c r="G111" s="64">
        <v>1</v>
      </c>
      <c r="H111" s="102">
        <v>0</v>
      </c>
      <c r="I111" s="19"/>
    </row>
    <row r="112" spans="1:9" x14ac:dyDescent="0.2">
      <c r="A112" s="49" t="s">
        <v>221</v>
      </c>
      <c r="B112" s="57" t="s">
        <v>64</v>
      </c>
      <c r="C112" s="57" t="s">
        <v>647</v>
      </c>
      <c r="D112" s="186" t="s">
        <v>894</v>
      </c>
      <c r="E112" s="187"/>
      <c r="F112" s="57" t="s">
        <v>1001</v>
      </c>
      <c r="G112" s="65">
        <v>5</v>
      </c>
      <c r="H112" s="103">
        <v>0</v>
      </c>
      <c r="I112" s="19"/>
    </row>
    <row r="113" spans="1:9" x14ac:dyDescent="0.2">
      <c r="A113" s="47" t="s">
        <v>110</v>
      </c>
      <c r="B113" s="55" t="s">
        <v>64</v>
      </c>
      <c r="C113" s="55" t="s">
        <v>648</v>
      </c>
      <c r="D113" s="178" t="s">
        <v>895</v>
      </c>
      <c r="E113" s="179"/>
      <c r="F113" s="55" t="s">
        <v>1002</v>
      </c>
      <c r="G113" s="64">
        <v>1</v>
      </c>
      <c r="H113" s="102">
        <v>0</v>
      </c>
      <c r="I113" s="19"/>
    </row>
    <row r="114" spans="1:9" x14ac:dyDescent="0.2">
      <c r="A114" s="47" t="s">
        <v>111</v>
      </c>
      <c r="B114" s="55" t="s">
        <v>64</v>
      </c>
      <c r="C114" s="55" t="s">
        <v>571</v>
      </c>
      <c r="D114" s="178" t="s">
        <v>896</v>
      </c>
      <c r="E114" s="179"/>
      <c r="F114" s="55" t="s">
        <v>1000</v>
      </c>
      <c r="G114" s="64">
        <v>174.92</v>
      </c>
      <c r="H114" s="102">
        <v>0</v>
      </c>
      <c r="I114" s="19"/>
    </row>
    <row r="115" spans="1:9" x14ac:dyDescent="0.2">
      <c r="A115" s="49" t="s">
        <v>222</v>
      </c>
      <c r="B115" s="57" t="s">
        <v>64</v>
      </c>
      <c r="C115" s="57" t="s">
        <v>649</v>
      </c>
      <c r="D115" s="186" t="s">
        <v>898</v>
      </c>
      <c r="E115" s="187"/>
      <c r="F115" s="57" t="s">
        <v>1002</v>
      </c>
      <c r="G115" s="65">
        <v>1</v>
      </c>
      <c r="H115" s="103">
        <v>0</v>
      </c>
      <c r="I115" s="19"/>
    </row>
    <row r="116" spans="1:9" x14ac:dyDescent="0.2">
      <c r="A116" s="47" t="s">
        <v>223</v>
      </c>
      <c r="B116" s="55" t="s">
        <v>65</v>
      </c>
      <c r="C116" s="55" t="s">
        <v>700</v>
      </c>
      <c r="D116" s="178" t="s">
        <v>885</v>
      </c>
      <c r="E116" s="179"/>
      <c r="F116" s="55" t="s">
        <v>1002</v>
      </c>
      <c r="G116" s="64">
        <v>1</v>
      </c>
      <c r="H116" s="102">
        <v>0</v>
      </c>
      <c r="I116" s="19"/>
    </row>
    <row r="117" spans="1:9" x14ac:dyDescent="0.2">
      <c r="A117" s="49" t="s">
        <v>224</v>
      </c>
      <c r="B117" s="57" t="s">
        <v>65</v>
      </c>
      <c r="C117" s="57" t="s">
        <v>701</v>
      </c>
      <c r="D117" s="186" t="s">
        <v>886</v>
      </c>
      <c r="E117" s="187"/>
      <c r="F117" s="57" t="s">
        <v>1004</v>
      </c>
      <c r="G117" s="65">
        <v>1</v>
      </c>
      <c r="H117" s="103">
        <v>0</v>
      </c>
      <c r="I117" s="19"/>
    </row>
    <row r="118" spans="1:9" x14ac:dyDescent="0.2">
      <c r="A118" s="47" t="s">
        <v>225</v>
      </c>
      <c r="B118" s="55" t="s">
        <v>65</v>
      </c>
      <c r="C118" s="55" t="s">
        <v>702</v>
      </c>
      <c r="D118" s="178" t="s">
        <v>887</v>
      </c>
      <c r="E118" s="179"/>
      <c r="F118" s="55" t="s">
        <v>1002</v>
      </c>
      <c r="G118" s="64">
        <v>1</v>
      </c>
      <c r="H118" s="102">
        <v>0</v>
      </c>
      <c r="I118" s="19"/>
    </row>
    <row r="119" spans="1:9" x14ac:dyDescent="0.2">
      <c r="A119" s="49" t="s">
        <v>226</v>
      </c>
      <c r="B119" s="57" t="s">
        <v>65</v>
      </c>
      <c r="C119" s="57" t="s">
        <v>703</v>
      </c>
      <c r="D119" s="186" t="s">
        <v>888</v>
      </c>
      <c r="E119" s="187"/>
      <c r="F119" s="57" t="s">
        <v>1001</v>
      </c>
      <c r="G119" s="65">
        <v>5</v>
      </c>
      <c r="H119" s="103">
        <v>0</v>
      </c>
      <c r="I119" s="19"/>
    </row>
    <row r="120" spans="1:9" x14ac:dyDescent="0.2">
      <c r="A120" s="47" t="s">
        <v>227</v>
      </c>
      <c r="B120" s="55" t="s">
        <v>65</v>
      </c>
      <c r="C120" s="55" t="s">
        <v>704</v>
      </c>
      <c r="D120" s="178" t="s">
        <v>881</v>
      </c>
      <c r="E120" s="179"/>
      <c r="F120" s="55" t="s">
        <v>1002</v>
      </c>
      <c r="G120" s="64">
        <v>5</v>
      </c>
      <c r="H120" s="102">
        <v>0</v>
      </c>
      <c r="I120" s="19"/>
    </row>
    <row r="121" spans="1:9" x14ac:dyDescent="0.2">
      <c r="A121" s="49" t="s">
        <v>228</v>
      </c>
      <c r="B121" s="57" t="s">
        <v>65</v>
      </c>
      <c r="C121" s="57" t="s">
        <v>705</v>
      </c>
      <c r="D121" s="186" t="s">
        <v>889</v>
      </c>
      <c r="E121" s="187"/>
      <c r="F121" s="57" t="s">
        <v>1005</v>
      </c>
      <c r="G121" s="65">
        <v>4</v>
      </c>
      <c r="H121" s="103">
        <v>0</v>
      </c>
      <c r="I121" s="19"/>
    </row>
    <row r="122" spans="1:9" x14ac:dyDescent="0.2">
      <c r="A122" s="47" t="s">
        <v>229</v>
      </c>
      <c r="B122" s="55" t="s">
        <v>65</v>
      </c>
      <c r="C122" s="55" t="s">
        <v>706</v>
      </c>
      <c r="D122" s="178" t="s">
        <v>890</v>
      </c>
      <c r="E122" s="179"/>
      <c r="F122" s="55" t="s">
        <v>1002</v>
      </c>
      <c r="G122" s="64">
        <v>4</v>
      </c>
      <c r="H122" s="102">
        <v>0</v>
      </c>
      <c r="I122" s="19"/>
    </row>
    <row r="123" spans="1:9" x14ac:dyDescent="0.2">
      <c r="A123" s="49" t="s">
        <v>230</v>
      </c>
      <c r="B123" s="57" t="s">
        <v>65</v>
      </c>
      <c r="C123" s="57" t="s">
        <v>707</v>
      </c>
      <c r="D123" s="186" t="s">
        <v>891</v>
      </c>
      <c r="E123" s="187"/>
      <c r="F123" s="57" t="s">
        <v>1001</v>
      </c>
      <c r="G123" s="65">
        <v>2</v>
      </c>
      <c r="H123" s="103">
        <v>0</v>
      </c>
      <c r="I123" s="19"/>
    </row>
    <row r="124" spans="1:9" x14ac:dyDescent="0.2">
      <c r="A124" s="47" t="s">
        <v>231</v>
      </c>
      <c r="B124" s="55" t="s">
        <v>65</v>
      </c>
      <c r="C124" s="55" t="s">
        <v>708</v>
      </c>
      <c r="D124" s="178" t="s">
        <v>892</v>
      </c>
      <c r="E124" s="179"/>
      <c r="F124" s="55" t="s">
        <v>1002</v>
      </c>
      <c r="G124" s="64">
        <v>1</v>
      </c>
      <c r="H124" s="102">
        <v>0</v>
      </c>
      <c r="I124" s="19"/>
    </row>
    <row r="125" spans="1:9" x14ac:dyDescent="0.2">
      <c r="A125" s="49" t="s">
        <v>232</v>
      </c>
      <c r="B125" s="57" t="s">
        <v>65</v>
      </c>
      <c r="C125" s="57" t="s">
        <v>709</v>
      </c>
      <c r="D125" s="186" t="s">
        <v>894</v>
      </c>
      <c r="E125" s="187"/>
      <c r="F125" s="57" t="s">
        <v>1001</v>
      </c>
      <c r="G125" s="65">
        <v>5</v>
      </c>
      <c r="H125" s="103">
        <v>0</v>
      </c>
      <c r="I125" s="19"/>
    </row>
    <row r="126" spans="1:9" x14ac:dyDescent="0.2">
      <c r="A126" s="47" t="s">
        <v>233</v>
      </c>
      <c r="B126" s="55" t="s">
        <v>65</v>
      </c>
      <c r="C126" s="55" t="s">
        <v>710</v>
      </c>
      <c r="D126" s="178" t="s">
        <v>895</v>
      </c>
      <c r="E126" s="179"/>
      <c r="F126" s="55" t="s">
        <v>1002</v>
      </c>
      <c r="G126" s="64">
        <v>1</v>
      </c>
      <c r="H126" s="102">
        <v>0</v>
      </c>
      <c r="I126" s="19"/>
    </row>
    <row r="127" spans="1:9" x14ac:dyDescent="0.2">
      <c r="A127" s="47" t="s">
        <v>234</v>
      </c>
      <c r="B127" s="55" t="s">
        <v>65</v>
      </c>
      <c r="C127" s="55" t="s">
        <v>571</v>
      </c>
      <c r="D127" s="178" t="s">
        <v>896</v>
      </c>
      <c r="E127" s="179"/>
      <c r="F127" s="55" t="s">
        <v>1000</v>
      </c>
      <c r="G127" s="64">
        <v>174.92</v>
      </c>
      <c r="H127" s="102">
        <v>0</v>
      </c>
      <c r="I127" s="19"/>
    </row>
    <row r="128" spans="1:9" x14ac:dyDescent="0.2">
      <c r="A128" s="49" t="s">
        <v>235</v>
      </c>
      <c r="B128" s="57" t="s">
        <v>65</v>
      </c>
      <c r="C128" s="57" t="s">
        <v>711</v>
      </c>
      <c r="D128" s="186" t="s">
        <v>898</v>
      </c>
      <c r="E128" s="187"/>
      <c r="F128" s="57" t="s">
        <v>1002</v>
      </c>
      <c r="G128" s="65">
        <v>1</v>
      </c>
      <c r="H128" s="103">
        <v>0</v>
      </c>
      <c r="I128" s="19"/>
    </row>
    <row r="129" spans="1:9" x14ac:dyDescent="0.2">
      <c r="A129" s="47" t="s">
        <v>236</v>
      </c>
      <c r="B129" s="55" t="s">
        <v>66</v>
      </c>
      <c r="C129" s="55" t="s">
        <v>760</v>
      </c>
      <c r="D129" s="178" t="s">
        <v>885</v>
      </c>
      <c r="E129" s="179"/>
      <c r="F129" s="55" t="s">
        <v>1002</v>
      </c>
      <c r="G129" s="64">
        <v>1</v>
      </c>
      <c r="H129" s="102">
        <v>0</v>
      </c>
      <c r="I129" s="19"/>
    </row>
    <row r="130" spans="1:9" x14ac:dyDescent="0.2">
      <c r="A130" s="49" t="s">
        <v>237</v>
      </c>
      <c r="B130" s="57" t="s">
        <v>66</v>
      </c>
      <c r="C130" s="57" t="s">
        <v>761</v>
      </c>
      <c r="D130" s="186" t="s">
        <v>886</v>
      </c>
      <c r="E130" s="187"/>
      <c r="F130" s="57" t="s">
        <v>1004</v>
      </c>
      <c r="G130" s="65">
        <v>1</v>
      </c>
      <c r="H130" s="103">
        <v>0</v>
      </c>
      <c r="I130" s="19"/>
    </row>
    <row r="131" spans="1:9" x14ac:dyDescent="0.2">
      <c r="A131" s="47" t="s">
        <v>238</v>
      </c>
      <c r="B131" s="55" t="s">
        <v>66</v>
      </c>
      <c r="C131" s="55" t="s">
        <v>762</v>
      </c>
      <c r="D131" s="178" t="s">
        <v>887</v>
      </c>
      <c r="E131" s="179"/>
      <c r="F131" s="55" t="s">
        <v>1002</v>
      </c>
      <c r="G131" s="64">
        <v>1</v>
      </c>
      <c r="H131" s="102">
        <v>0</v>
      </c>
      <c r="I131" s="19"/>
    </row>
    <row r="132" spans="1:9" x14ac:dyDescent="0.2">
      <c r="A132" s="49" t="s">
        <v>239</v>
      </c>
      <c r="B132" s="57" t="s">
        <v>66</v>
      </c>
      <c r="C132" s="57" t="s">
        <v>763</v>
      </c>
      <c r="D132" s="186" t="s">
        <v>888</v>
      </c>
      <c r="E132" s="187"/>
      <c r="F132" s="57" t="s">
        <v>1001</v>
      </c>
      <c r="G132" s="65">
        <v>5</v>
      </c>
      <c r="H132" s="103">
        <v>0</v>
      </c>
      <c r="I132" s="19"/>
    </row>
    <row r="133" spans="1:9" x14ac:dyDescent="0.2">
      <c r="A133" s="47" t="s">
        <v>240</v>
      </c>
      <c r="B133" s="55" t="s">
        <v>66</v>
      </c>
      <c r="C133" s="55" t="s">
        <v>764</v>
      </c>
      <c r="D133" s="178" t="s">
        <v>881</v>
      </c>
      <c r="E133" s="179"/>
      <c r="F133" s="55" t="s">
        <v>1002</v>
      </c>
      <c r="G133" s="64">
        <v>5</v>
      </c>
      <c r="H133" s="102">
        <v>0</v>
      </c>
      <c r="I133" s="19"/>
    </row>
    <row r="134" spans="1:9" x14ac:dyDescent="0.2">
      <c r="A134" s="49" t="s">
        <v>241</v>
      </c>
      <c r="B134" s="57" t="s">
        <v>66</v>
      </c>
      <c r="C134" s="57" t="s">
        <v>765</v>
      </c>
      <c r="D134" s="186" t="s">
        <v>889</v>
      </c>
      <c r="E134" s="187"/>
      <c r="F134" s="57" t="s">
        <v>1005</v>
      </c>
      <c r="G134" s="65">
        <v>4</v>
      </c>
      <c r="H134" s="103">
        <v>0</v>
      </c>
      <c r="I134" s="19"/>
    </row>
    <row r="135" spans="1:9" x14ac:dyDescent="0.2">
      <c r="A135" s="47" t="s">
        <v>242</v>
      </c>
      <c r="B135" s="55" t="s">
        <v>66</v>
      </c>
      <c r="C135" s="55" t="s">
        <v>766</v>
      </c>
      <c r="D135" s="178" t="s">
        <v>890</v>
      </c>
      <c r="E135" s="179"/>
      <c r="F135" s="55" t="s">
        <v>1002</v>
      </c>
      <c r="G135" s="64">
        <v>4</v>
      </c>
      <c r="H135" s="102">
        <v>0</v>
      </c>
      <c r="I135" s="19"/>
    </row>
    <row r="136" spans="1:9" x14ac:dyDescent="0.2">
      <c r="A136" s="49" t="s">
        <v>243</v>
      </c>
      <c r="B136" s="57" t="s">
        <v>66</v>
      </c>
      <c r="C136" s="57" t="s">
        <v>767</v>
      </c>
      <c r="D136" s="186" t="s">
        <v>891</v>
      </c>
      <c r="E136" s="187"/>
      <c r="F136" s="57" t="s">
        <v>1001</v>
      </c>
      <c r="G136" s="65">
        <v>2</v>
      </c>
      <c r="H136" s="103">
        <v>0</v>
      </c>
      <c r="I136" s="19"/>
    </row>
    <row r="137" spans="1:9" x14ac:dyDescent="0.2">
      <c r="A137" s="47" t="s">
        <v>244</v>
      </c>
      <c r="B137" s="55" t="s">
        <v>66</v>
      </c>
      <c r="C137" s="55" t="s">
        <v>768</v>
      </c>
      <c r="D137" s="178" t="s">
        <v>892</v>
      </c>
      <c r="E137" s="179"/>
      <c r="F137" s="55" t="s">
        <v>1002</v>
      </c>
      <c r="G137" s="64">
        <v>1</v>
      </c>
      <c r="H137" s="102">
        <v>0</v>
      </c>
      <c r="I137" s="19"/>
    </row>
    <row r="138" spans="1:9" x14ac:dyDescent="0.2">
      <c r="A138" s="49" t="s">
        <v>245</v>
      </c>
      <c r="B138" s="57" t="s">
        <v>66</v>
      </c>
      <c r="C138" s="57" t="s">
        <v>769</v>
      </c>
      <c r="D138" s="186" t="s">
        <v>894</v>
      </c>
      <c r="E138" s="187"/>
      <c r="F138" s="57" t="s">
        <v>1001</v>
      </c>
      <c r="G138" s="65">
        <v>5</v>
      </c>
      <c r="H138" s="103">
        <v>0</v>
      </c>
      <c r="I138" s="19"/>
    </row>
    <row r="139" spans="1:9" x14ac:dyDescent="0.2">
      <c r="A139" s="47" t="s">
        <v>246</v>
      </c>
      <c r="B139" s="55" t="s">
        <v>66</v>
      </c>
      <c r="C139" s="55" t="s">
        <v>770</v>
      </c>
      <c r="D139" s="178" t="s">
        <v>895</v>
      </c>
      <c r="E139" s="179"/>
      <c r="F139" s="55" t="s">
        <v>1002</v>
      </c>
      <c r="G139" s="64">
        <v>1</v>
      </c>
      <c r="H139" s="102">
        <v>0</v>
      </c>
      <c r="I139" s="19"/>
    </row>
    <row r="140" spans="1:9" x14ac:dyDescent="0.2">
      <c r="A140" s="47" t="s">
        <v>247</v>
      </c>
      <c r="B140" s="55" t="s">
        <v>66</v>
      </c>
      <c r="C140" s="55" t="s">
        <v>571</v>
      </c>
      <c r="D140" s="178" t="s">
        <v>896</v>
      </c>
      <c r="E140" s="179"/>
      <c r="F140" s="55" t="s">
        <v>1000</v>
      </c>
      <c r="G140" s="64">
        <v>174.92</v>
      </c>
      <c r="H140" s="102">
        <v>0</v>
      </c>
      <c r="I140" s="19"/>
    </row>
    <row r="141" spans="1:9" x14ac:dyDescent="0.2">
      <c r="A141" s="49" t="s">
        <v>248</v>
      </c>
      <c r="B141" s="57" t="s">
        <v>66</v>
      </c>
      <c r="C141" s="57" t="s">
        <v>771</v>
      </c>
      <c r="D141" s="186" t="s">
        <v>898</v>
      </c>
      <c r="E141" s="187"/>
      <c r="F141" s="57" t="s">
        <v>1002</v>
      </c>
      <c r="G141" s="65">
        <v>1</v>
      </c>
      <c r="H141" s="103">
        <v>0</v>
      </c>
      <c r="I141" s="19"/>
    </row>
    <row r="142" spans="1:9" x14ac:dyDescent="0.2">
      <c r="A142" s="93"/>
      <c r="B142" s="54"/>
      <c r="C142" s="54" t="s">
        <v>117</v>
      </c>
      <c r="D142" s="176" t="s">
        <v>136</v>
      </c>
      <c r="E142" s="177"/>
      <c r="F142" s="54"/>
      <c r="G142" s="83"/>
      <c r="H142" s="78"/>
      <c r="I142" s="19"/>
    </row>
    <row r="143" spans="1:9" x14ac:dyDescent="0.2">
      <c r="A143" s="47" t="s">
        <v>249</v>
      </c>
      <c r="B143" s="55" t="s">
        <v>63</v>
      </c>
      <c r="C143" s="55" t="s">
        <v>573</v>
      </c>
      <c r="D143" s="178" t="s">
        <v>900</v>
      </c>
      <c r="E143" s="179"/>
      <c r="F143" s="55" t="s">
        <v>1002</v>
      </c>
      <c r="G143" s="64">
        <v>1</v>
      </c>
      <c r="H143" s="102">
        <v>0</v>
      </c>
      <c r="I143" s="19"/>
    </row>
    <row r="144" spans="1:9" x14ac:dyDescent="0.2">
      <c r="A144" s="49" t="s">
        <v>250</v>
      </c>
      <c r="B144" s="57" t="s">
        <v>63</v>
      </c>
      <c r="C144" s="57" t="s">
        <v>574</v>
      </c>
      <c r="D144" s="186" t="s">
        <v>902</v>
      </c>
      <c r="E144" s="187"/>
      <c r="F144" s="57" t="s">
        <v>1006</v>
      </c>
      <c r="G144" s="65">
        <v>1</v>
      </c>
      <c r="H144" s="103">
        <v>0</v>
      </c>
      <c r="I144" s="19"/>
    </row>
    <row r="145" spans="1:9" x14ac:dyDescent="0.2">
      <c r="A145" s="47" t="s">
        <v>251</v>
      </c>
      <c r="B145" s="55" t="s">
        <v>63</v>
      </c>
      <c r="C145" s="55" t="s">
        <v>575</v>
      </c>
      <c r="D145" s="178" t="s">
        <v>903</v>
      </c>
      <c r="E145" s="179"/>
      <c r="F145" s="55" t="s">
        <v>1002</v>
      </c>
      <c r="G145" s="64">
        <v>1</v>
      </c>
      <c r="H145" s="102">
        <v>0</v>
      </c>
      <c r="I145" s="19"/>
    </row>
    <row r="146" spans="1:9" x14ac:dyDescent="0.2">
      <c r="A146" s="47" t="s">
        <v>252</v>
      </c>
      <c r="B146" s="55" t="s">
        <v>63</v>
      </c>
      <c r="C146" s="55" t="s">
        <v>576</v>
      </c>
      <c r="D146" s="178" t="s">
        <v>904</v>
      </c>
      <c r="E146" s="179"/>
      <c r="F146" s="55" t="s">
        <v>1003</v>
      </c>
      <c r="G146" s="64">
        <v>2</v>
      </c>
      <c r="H146" s="102">
        <v>0</v>
      </c>
      <c r="I146" s="19"/>
    </row>
    <row r="147" spans="1:9" x14ac:dyDescent="0.2">
      <c r="A147" s="49" t="s">
        <v>253</v>
      </c>
      <c r="B147" s="57" t="s">
        <v>63</v>
      </c>
      <c r="C147" s="57" t="s">
        <v>577</v>
      </c>
      <c r="D147" s="186" t="s">
        <v>905</v>
      </c>
      <c r="E147" s="187"/>
      <c r="F147" s="57" t="s">
        <v>1004</v>
      </c>
      <c r="G147" s="65">
        <v>2</v>
      </c>
      <c r="H147" s="103">
        <v>0</v>
      </c>
      <c r="I147" s="19"/>
    </row>
    <row r="148" spans="1:9" x14ac:dyDescent="0.2">
      <c r="A148" s="49" t="s">
        <v>254</v>
      </c>
      <c r="B148" s="57" t="s">
        <v>63</v>
      </c>
      <c r="C148" s="57" t="s">
        <v>578</v>
      </c>
      <c r="D148" s="186" t="s">
        <v>906</v>
      </c>
      <c r="E148" s="187"/>
      <c r="F148" s="57" t="s">
        <v>1004</v>
      </c>
      <c r="G148" s="65">
        <v>1</v>
      </c>
      <c r="H148" s="103">
        <v>0</v>
      </c>
      <c r="I148" s="19"/>
    </row>
    <row r="149" spans="1:9" x14ac:dyDescent="0.2">
      <c r="A149" s="49" t="s">
        <v>255</v>
      </c>
      <c r="B149" s="57" t="s">
        <v>63</v>
      </c>
      <c r="C149" s="57" t="s">
        <v>579</v>
      </c>
      <c r="D149" s="186" t="s">
        <v>908</v>
      </c>
      <c r="E149" s="187"/>
      <c r="F149" s="57" t="s">
        <v>1007</v>
      </c>
      <c r="G149" s="65">
        <v>5</v>
      </c>
      <c r="H149" s="103">
        <v>0</v>
      </c>
      <c r="I149" s="19"/>
    </row>
    <row r="150" spans="1:9" x14ac:dyDescent="0.2">
      <c r="A150" s="47" t="s">
        <v>256</v>
      </c>
      <c r="B150" s="55" t="s">
        <v>63</v>
      </c>
      <c r="C150" s="55" t="s">
        <v>580</v>
      </c>
      <c r="D150" s="178" t="s">
        <v>909</v>
      </c>
      <c r="E150" s="179"/>
      <c r="F150" s="55" t="s">
        <v>1002</v>
      </c>
      <c r="G150" s="64">
        <v>1</v>
      </c>
      <c r="H150" s="102">
        <v>0</v>
      </c>
      <c r="I150" s="19"/>
    </row>
    <row r="151" spans="1:9" x14ac:dyDescent="0.2">
      <c r="A151" s="49" t="s">
        <v>257</v>
      </c>
      <c r="B151" s="57" t="s">
        <v>63</v>
      </c>
      <c r="C151" s="57" t="s">
        <v>581</v>
      </c>
      <c r="D151" s="186" t="s">
        <v>910</v>
      </c>
      <c r="E151" s="187"/>
      <c r="F151" s="57" t="s">
        <v>1004</v>
      </c>
      <c r="G151" s="65">
        <v>2</v>
      </c>
      <c r="H151" s="103">
        <v>0</v>
      </c>
      <c r="I151" s="19"/>
    </row>
    <row r="152" spans="1:9" x14ac:dyDescent="0.2">
      <c r="A152" s="47" t="s">
        <v>258</v>
      </c>
      <c r="B152" s="55" t="s">
        <v>63</v>
      </c>
      <c r="C152" s="55" t="s">
        <v>582</v>
      </c>
      <c r="D152" s="178" t="s">
        <v>911</v>
      </c>
      <c r="E152" s="179"/>
      <c r="F152" s="55" t="s">
        <v>1003</v>
      </c>
      <c r="G152" s="64">
        <v>2</v>
      </c>
      <c r="H152" s="102">
        <v>0</v>
      </c>
      <c r="I152" s="19"/>
    </row>
    <row r="153" spans="1:9" ht="12.2" customHeight="1" x14ac:dyDescent="0.2">
      <c r="A153" s="47" t="s">
        <v>259</v>
      </c>
      <c r="B153" s="55" t="s">
        <v>63</v>
      </c>
      <c r="C153" s="55" t="s">
        <v>583</v>
      </c>
      <c r="D153" s="194" t="s">
        <v>1092</v>
      </c>
      <c r="E153" s="195"/>
      <c r="F153" s="194"/>
      <c r="G153" s="98">
        <v>8</v>
      </c>
      <c r="H153" s="102">
        <v>0</v>
      </c>
      <c r="I153" s="19"/>
    </row>
    <row r="154" spans="1:9" ht="12.2" customHeight="1" x14ac:dyDescent="0.2">
      <c r="A154" s="49" t="s">
        <v>260</v>
      </c>
      <c r="B154" s="57" t="s">
        <v>63</v>
      </c>
      <c r="C154" s="57" t="s">
        <v>584</v>
      </c>
      <c r="D154" s="196" t="s">
        <v>1092</v>
      </c>
      <c r="E154" s="197"/>
      <c r="F154" s="196"/>
      <c r="G154" s="99">
        <v>8</v>
      </c>
      <c r="H154" s="103">
        <v>0</v>
      </c>
      <c r="I154" s="19"/>
    </row>
    <row r="155" spans="1:9" x14ac:dyDescent="0.2">
      <c r="A155" s="47" t="s">
        <v>261</v>
      </c>
      <c r="B155" s="55" t="s">
        <v>63</v>
      </c>
      <c r="C155" s="55" t="s">
        <v>585</v>
      </c>
      <c r="D155" s="178" t="s">
        <v>914</v>
      </c>
      <c r="E155" s="179"/>
      <c r="F155" s="55" t="s">
        <v>1001</v>
      </c>
      <c r="G155" s="64">
        <v>6</v>
      </c>
      <c r="H155" s="102">
        <v>0</v>
      </c>
      <c r="I155" s="19"/>
    </row>
    <row r="156" spans="1:9" x14ac:dyDescent="0.2">
      <c r="A156" s="49" t="s">
        <v>262</v>
      </c>
      <c r="B156" s="57" t="s">
        <v>63</v>
      </c>
      <c r="C156" s="57" t="s">
        <v>586</v>
      </c>
      <c r="D156" s="186" t="s">
        <v>916</v>
      </c>
      <c r="E156" s="187"/>
      <c r="F156" s="57" t="s">
        <v>1001</v>
      </c>
      <c r="G156" s="65">
        <v>6</v>
      </c>
      <c r="H156" s="103">
        <v>0</v>
      </c>
      <c r="I156" s="19"/>
    </row>
    <row r="157" spans="1:9" x14ac:dyDescent="0.2">
      <c r="A157" s="49" t="s">
        <v>263</v>
      </c>
      <c r="B157" s="57" t="s">
        <v>63</v>
      </c>
      <c r="C157" s="57" t="s">
        <v>587</v>
      </c>
      <c r="D157" s="186" t="s">
        <v>917</v>
      </c>
      <c r="E157" s="187"/>
      <c r="F157" s="57" t="s">
        <v>1007</v>
      </c>
      <c r="G157" s="65">
        <v>1</v>
      </c>
      <c r="H157" s="103">
        <v>0</v>
      </c>
      <c r="I157" s="19"/>
    </row>
    <row r="158" spans="1:9" x14ac:dyDescent="0.2">
      <c r="A158" s="47" t="s">
        <v>264</v>
      </c>
      <c r="B158" s="55" t="s">
        <v>63</v>
      </c>
      <c r="C158" s="55" t="s">
        <v>588</v>
      </c>
      <c r="D158" s="178" t="s">
        <v>918</v>
      </c>
      <c r="E158" s="179"/>
      <c r="F158" s="55" t="s">
        <v>1001</v>
      </c>
      <c r="G158" s="64">
        <v>2</v>
      </c>
      <c r="H158" s="102">
        <v>0</v>
      </c>
      <c r="I158" s="19"/>
    </row>
    <row r="159" spans="1:9" x14ac:dyDescent="0.2">
      <c r="A159" s="49" t="s">
        <v>265</v>
      </c>
      <c r="B159" s="57" t="s">
        <v>63</v>
      </c>
      <c r="C159" s="57" t="s">
        <v>589</v>
      </c>
      <c r="D159" s="186" t="s">
        <v>920</v>
      </c>
      <c r="E159" s="187"/>
      <c r="F159" s="57" t="s">
        <v>1001</v>
      </c>
      <c r="G159" s="65">
        <v>2</v>
      </c>
      <c r="H159" s="103">
        <v>0</v>
      </c>
      <c r="I159" s="19"/>
    </row>
    <row r="160" spans="1:9" x14ac:dyDescent="0.2">
      <c r="A160" s="47" t="s">
        <v>266</v>
      </c>
      <c r="B160" s="55" t="s">
        <v>63</v>
      </c>
      <c r="C160" s="55" t="s">
        <v>590</v>
      </c>
      <c r="D160" s="178" t="s">
        <v>921</v>
      </c>
      <c r="E160" s="179"/>
      <c r="F160" s="55" t="s">
        <v>1001</v>
      </c>
      <c r="G160" s="64">
        <v>8</v>
      </c>
      <c r="H160" s="102">
        <v>0</v>
      </c>
      <c r="I160" s="19"/>
    </row>
    <row r="161" spans="1:9" x14ac:dyDescent="0.2">
      <c r="A161" s="49" t="s">
        <v>267</v>
      </c>
      <c r="B161" s="57" t="s">
        <v>63</v>
      </c>
      <c r="C161" s="57" t="s">
        <v>591</v>
      </c>
      <c r="D161" s="186" t="s">
        <v>922</v>
      </c>
      <c r="E161" s="187"/>
      <c r="F161" s="57" t="s">
        <v>1001</v>
      </c>
      <c r="G161" s="65">
        <v>8</v>
      </c>
      <c r="H161" s="103">
        <v>0</v>
      </c>
      <c r="I161" s="19"/>
    </row>
    <row r="162" spans="1:9" x14ac:dyDescent="0.2">
      <c r="A162" s="47" t="s">
        <v>268</v>
      </c>
      <c r="B162" s="55" t="s">
        <v>63</v>
      </c>
      <c r="C162" s="55" t="s">
        <v>592</v>
      </c>
      <c r="D162" s="178" t="s">
        <v>923</v>
      </c>
      <c r="E162" s="179"/>
      <c r="F162" s="55" t="s">
        <v>1003</v>
      </c>
      <c r="G162" s="64">
        <v>2</v>
      </c>
      <c r="H162" s="102">
        <v>0</v>
      </c>
      <c r="I162" s="19"/>
    </row>
    <row r="163" spans="1:9" x14ac:dyDescent="0.2">
      <c r="A163" s="49" t="s">
        <v>269</v>
      </c>
      <c r="B163" s="57" t="s">
        <v>63</v>
      </c>
      <c r="C163" s="57" t="s">
        <v>593</v>
      </c>
      <c r="D163" s="186" t="s">
        <v>925</v>
      </c>
      <c r="E163" s="187"/>
      <c r="F163" s="57" t="s">
        <v>1003</v>
      </c>
      <c r="G163" s="65">
        <v>2</v>
      </c>
      <c r="H163" s="103">
        <v>0</v>
      </c>
      <c r="I163" s="19"/>
    </row>
    <row r="164" spans="1:9" x14ac:dyDescent="0.2">
      <c r="A164" s="47" t="s">
        <v>270</v>
      </c>
      <c r="B164" s="55" t="s">
        <v>63</v>
      </c>
      <c r="C164" s="55" t="s">
        <v>594</v>
      </c>
      <c r="D164" s="178" t="s">
        <v>926</v>
      </c>
      <c r="E164" s="179"/>
      <c r="F164" s="55" t="s">
        <v>1003</v>
      </c>
      <c r="G164" s="64">
        <v>4</v>
      </c>
      <c r="H164" s="102">
        <v>0</v>
      </c>
      <c r="I164" s="19"/>
    </row>
    <row r="165" spans="1:9" x14ac:dyDescent="0.2">
      <c r="A165" s="49" t="s">
        <v>271</v>
      </c>
      <c r="B165" s="57" t="s">
        <v>63</v>
      </c>
      <c r="C165" s="57" t="s">
        <v>595</v>
      </c>
      <c r="D165" s="186" t="s">
        <v>928</v>
      </c>
      <c r="E165" s="187"/>
      <c r="F165" s="57" t="s">
        <v>1003</v>
      </c>
      <c r="G165" s="65">
        <v>4</v>
      </c>
      <c r="H165" s="103">
        <v>0</v>
      </c>
      <c r="I165" s="19"/>
    </row>
    <row r="166" spans="1:9" x14ac:dyDescent="0.2">
      <c r="A166" s="47" t="s">
        <v>272</v>
      </c>
      <c r="B166" s="55" t="s">
        <v>63</v>
      </c>
      <c r="C166" s="55" t="s">
        <v>596</v>
      </c>
      <c r="D166" s="178" t="s">
        <v>929</v>
      </c>
      <c r="E166" s="179"/>
      <c r="F166" s="55" t="s">
        <v>1001</v>
      </c>
      <c r="G166" s="64">
        <v>26</v>
      </c>
      <c r="H166" s="102">
        <v>0</v>
      </c>
      <c r="I166" s="19"/>
    </row>
    <row r="167" spans="1:9" ht="12.2" customHeight="1" x14ac:dyDescent="0.2">
      <c r="A167" s="19"/>
      <c r="D167" s="194" t="s">
        <v>1093</v>
      </c>
      <c r="E167" s="195"/>
      <c r="F167" s="195"/>
      <c r="G167" s="98">
        <v>21</v>
      </c>
      <c r="H167" s="16"/>
      <c r="I167" s="19"/>
    </row>
    <row r="168" spans="1:9" ht="12.2" customHeight="1" x14ac:dyDescent="0.2">
      <c r="A168" s="47"/>
      <c r="B168" s="55"/>
      <c r="C168" s="55"/>
      <c r="D168" s="194" t="s">
        <v>1094</v>
      </c>
      <c r="E168" s="195"/>
      <c r="F168" s="194"/>
      <c r="G168" s="98">
        <v>5</v>
      </c>
      <c r="H168" s="79"/>
      <c r="I168" s="19"/>
    </row>
    <row r="169" spans="1:9" ht="12.2" customHeight="1" x14ac:dyDescent="0.2">
      <c r="A169" s="47"/>
      <c r="B169" s="55"/>
      <c r="C169" s="55"/>
      <c r="D169" s="194" t="s">
        <v>1095</v>
      </c>
      <c r="E169" s="195"/>
      <c r="F169" s="194"/>
      <c r="G169" s="98">
        <v>0</v>
      </c>
      <c r="H169" s="79"/>
      <c r="I169" s="19"/>
    </row>
    <row r="170" spans="1:9" x14ac:dyDescent="0.2">
      <c r="A170" s="49" t="s">
        <v>273</v>
      </c>
      <c r="B170" s="57" t="s">
        <v>63</v>
      </c>
      <c r="C170" s="57" t="s">
        <v>597</v>
      </c>
      <c r="D170" s="186" t="s">
        <v>930</v>
      </c>
      <c r="E170" s="187"/>
      <c r="F170" s="57" t="s">
        <v>1001</v>
      </c>
      <c r="G170" s="65">
        <v>5</v>
      </c>
      <c r="H170" s="103">
        <v>0</v>
      </c>
      <c r="I170" s="19"/>
    </row>
    <row r="171" spans="1:9" x14ac:dyDescent="0.2">
      <c r="A171" s="49" t="s">
        <v>274</v>
      </c>
      <c r="B171" s="57" t="s">
        <v>63</v>
      </c>
      <c r="C171" s="57" t="s">
        <v>598</v>
      </c>
      <c r="D171" s="186" t="s">
        <v>931</v>
      </c>
      <c r="E171" s="187"/>
      <c r="F171" s="57" t="s">
        <v>1001</v>
      </c>
      <c r="G171" s="65">
        <v>3</v>
      </c>
      <c r="H171" s="103">
        <v>0</v>
      </c>
      <c r="I171" s="19"/>
    </row>
    <row r="172" spans="1:9" x14ac:dyDescent="0.2">
      <c r="A172" s="49" t="s">
        <v>275</v>
      </c>
      <c r="B172" s="57" t="s">
        <v>63</v>
      </c>
      <c r="C172" s="57" t="s">
        <v>599</v>
      </c>
      <c r="D172" s="186" t="s">
        <v>933</v>
      </c>
      <c r="E172" s="187"/>
      <c r="F172" s="57" t="s">
        <v>1001</v>
      </c>
      <c r="G172" s="65">
        <v>3</v>
      </c>
      <c r="H172" s="103">
        <v>0</v>
      </c>
      <c r="I172" s="19"/>
    </row>
    <row r="173" spans="1:9" x14ac:dyDescent="0.2">
      <c r="A173" s="49" t="s">
        <v>276</v>
      </c>
      <c r="B173" s="57" t="s">
        <v>63</v>
      </c>
      <c r="C173" s="57" t="s">
        <v>600</v>
      </c>
      <c r="D173" s="186" t="s">
        <v>934</v>
      </c>
      <c r="E173" s="187"/>
      <c r="F173" s="57" t="s">
        <v>1001</v>
      </c>
      <c r="G173" s="65">
        <v>7</v>
      </c>
      <c r="H173" s="103">
        <v>0</v>
      </c>
      <c r="I173" s="19"/>
    </row>
    <row r="174" spans="1:9" x14ac:dyDescent="0.2">
      <c r="A174" s="49" t="s">
        <v>277</v>
      </c>
      <c r="B174" s="57" t="s">
        <v>63</v>
      </c>
      <c r="C174" s="57" t="s">
        <v>601</v>
      </c>
      <c r="D174" s="186" t="s">
        <v>935</v>
      </c>
      <c r="E174" s="187"/>
      <c r="F174" s="57" t="s">
        <v>1001</v>
      </c>
      <c r="G174" s="65">
        <v>3</v>
      </c>
      <c r="H174" s="103">
        <v>0</v>
      </c>
      <c r="I174" s="19"/>
    </row>
    <row r="175" spans="1:9" x14ac:dyDescent="0.2">
      <c r="A175" s="49" t="s">
        <v>278</v>
      </c>
      <c r="B175" s="57" t="s">
        <v>63</v>
      </c>
      <c r="C175" s="57" t="s">
        <v>602</v>
      </c>
      <c r="D175" s="186" t="s">
        <v>936</v>
      </c>
      <c r="E175" s="187"/>
      <c r="F175" s="57" t="s">
        <v>1001</v>
      </c>
      <c r="G175" s="65">
        <v>2</v>
      </c>
      <c r="H175" s="103">
        <v>0</v>
      </c>
      <c r="I175" s="19"/>
    </row>
    <row r="176" spans="1:9" x14ac:dyDescent="0.2">
      <c r="A176" s="49" t="s">
        <v>279</v>
      </c>
      <c r="B176" s="57" t="s">
        <v>63</v>
      </c>
      <c r="C176" s="57" t="s">
        <v>603</v>
      </c>
      <c r="D176" s="186" t="s">
        <v>937</v>
      </c>
      <c r="E176" s="187"/>
      <c r="F176" s="57" t="s">
        <v>1001</v>
      </c>
      <c r="G176" s="65">
        <v>3</v>
      </c>
      <c r="H176" s="103">
        <v>0</v>
      </c>
      <c r="I176" s="19"/>
    </row>
    <row r="177" spans="1:9" x14ac:dyDescent="0.2">
      <c r="A177" s="47" t="s">
        <v>280</v>
      </c>
      <c r="B177" s="55" t="s">
        <v>63</v>
      </c>
      <c r="C177" s="55" t="s">
        <v>604</v>
      </c>
      <c r="D177" s="178" t="s">
        <v>938</v>
      </c>
      <c r="E177" s="179"/>
      <c r="F177" s="55" t="s">
        <v>1003</v>
      </c>
      <c r="G177" s="64">
        <v>4</v>
      </c>
      <c r="H177" s="102">
        <v>0</v>
      </c>
      <c r="I177" s="19"/>
    </row>
    <row r="178" spans="1:9" x14ac:dyDescent="0.2">
      <c r="A178" s="49" t="s">
        <v>281</v>
      </c>
      <c r="B178" s="57" t="s">
        <v>63</v>
      </c>
      <c r="C178" s="57" t="s">
        <v>605</v>
      </c>
      <c r="D178" s="186" t="s">
        <v>939</v>
      </c>
      <c r="E178" s="187"/>
      <c r="F178" s="57" t="s">
        <v>1004</v>
      </c>
      <c r="G178" s="65">
        <v>4</v>
      </c>
      <c r="H178" s="103">
        <v>0</v>
      </c>
      <c r="I178" s="19"/>
    </row>
    <row r="179" spans="1:9" x14ac:dyDescent="0.2">
      <c r="A179" s="47" t="s">
        <v>282</v>
      </c>
      <c r="B179" s="55" t="s">
        <v>63</v>
      </c>
      <c r="C179" s="55" t="s">
        <v>606</v>
      </c>
      <c r="D179" s="178" t="s">
        <v>940</v>
      </c>
      <c r="E179" s="179"/>
      <c r="F179" s="55" t="s">
        <v>1003</v>
      </c>
      <c r="G179" s="64">
        <v>12</v>
      </c>
      <c r="H179" s="102">
        <v>0</v>
      </c>
      <c r="I179" s="19"/>
    </row>
    <row r="180" spans="1:9" ht="12.2" customHeight="1" x14ac:dyDescent="0.2">
      <c r="A180" s="19"/>
      <c r="D180" s="194" t="s">
        <v>1096</v>
      </c>
      <c r="E180" s="195"/>
      <c r="F180" s="195"/>
      <c r="G180" s="98">
        <v>10</v>
      </c>
      <c r="H180" s="16"/>
      <c r="I180" s="19"/>
    </row>
    <row r="181" spans="1:9" ht="12.2" customHeight="1" x14ac:dyDescent="0.2">
      <c r="A181" s="47"/>
      <c r="B181" s="55"/>
      <c r="C181" s="55"/>
      <c r="D181" s="194" t="s">
        <v>1097</v>
      </c>
      <c r="E181" s="195"/>
      <c r="F181" s="194"/>
      <c r="G181" s="98">
        <v>2</v>
      </c>
      <c r="H181" s="79"/>
      <c r="I181" s="19"/>
    </row>
    <row r="182" spans="1:9" ht="12.2" customHeight="1" x14ac:dyDescent="0.2">
      <c r="A182" s="47"/>
      <c r="B182" s="55"/>
      <c r="C182" s="55"/>
      <c r="D182" s="194" t="s">
        <v>1095</v>
      </c>
      <c r="E182" s="195"/>
      <c r="F182" s="194"/>
      <c r="G182" s="98">
        <v>0</v>
      </c>
      <c r="H182" s="79"/>
      <c r="I182" s="19"/>
    </row>
    <row r="183" spans="1:9" x14ac:dyDescent="0.2">
      <c r="A183" s="49" t="s">
        <v>283</v>
      </c>
      <c r="B183" s="57" t="s">
        <v>63</v>
      </c>
      <c r="C183" s="57" t="s">
        <v>607</v>
      </c>
      <c r="D183" s="186" t="s">
        <v>941</v>
      </c>
      <c r="E183" s="187"/>
      <c r="F183" s="57" t="s">
        <v>1004</v>
      </c>
      <c r="G183" s="65">
        <v>2</v>
      </c>
      <c r="H183" s="103">
        <v>0</v>
      </c>
      <c r="I183" s="19"/>
    </row>
    <row r="184" spans="1:9" x14ac:dyDescent="0.2">
      <c r="A184" s="49" t="s">
        <v>284</v>
      </c>
      <c r="B184" s="57" t="s">
        <v>63</v>
      </c>
      <c r="C184" s="57" t="s">
        <v>608</v>
      </c>
      <c r="D184" s="186" t="s">
        <v>942</v>
      </c>
      <c r="E184" s="187"/>
      <c r="F184" s="57" t="s">
        <v>1004</v>
      </c>
      <c r="G184" s="65">
        <v>1</v>
      </c>
      <c r="H184" s="103">
        <v>0</v>
      </c>
      <c r="I184" s="19"/>
    </row>
    <row r="185" spans="1:9" x14ac:dyDescent="0.2">
      <c r="A185" s="49" t="s">
        <v>285</v>
      </c>
      <c r="B185" s="57" t="s">
        <v>63</v>
      </c>
      <c r="C185" s="57" t="s">
        <v>609</v>
      </c>
      <c r="D185" s="186" t="s">
        <v>943</v>
      </c>
      <c r="E185" s="187"/>
      <c r="F185" s="57" t="s">
        <v>1004</v>
      </c>
      <c r="G185" s="65">
        <v>2</v>
      </c>
      <c r="H185" s="103">
        <v>0</v>
      </c>
      <c r="I185" s="19"/>
    </row>
    <row r="186" spans="1:9" x14ac:dyDescent="0.2">
      <c r="A186" s="49" t="s">
        <v>286</v>
      </c>
      <c r="B186" s="57" t="s">
        <v>63</v>
      </c>
      <c r="C186" s="57" t="s">
        <v>610</v>
      </c>
      <c r="D186" s="186" t="s">
        <v>944</v>
      </c>
      <c r="E186" s="187"/>
      <c r="F186" s="57" t="s">
        <v>1004</v>
      </c>
      <c r="G186" s="65">
        <v>2</v>
      </c>
      <c r="H186" s="103">
        <v>0</v>
      </c>
      <c r="I186" s="19"/>
    </row>
    <row r="187" spans="1:9" x14ac:dyDescent="0.2">
      <c r="A187" s="49" t="s">
        <v>287</v>
      </c>
      <c r="B187" s="57" t="s">
        <v>63</v>
      </c>
      <c r="C187" s="57" t="s">
        <v>611</v>
      </c>
      <c r="D187" s="186" t="s">
        <v>945</v>
      </c>
      <c r="E187" s="187"/>
      <c r="F187" s="57" t="s">
        <v>1004</v>
      </c>
      <c r="G187" s="65">
        <v>2</v>
      </c>
      <c r="H187" s="103">
        <v>0</v>
      </c>
      <c r="I187" s="19"/>
    </row>
    <row r="188" spans="1:9" x14ac:dyDescent="0.2">
      <c r="A188" s="49" t="s">
        <v>288</v>
      </c>
      <c r="B188" s="57" t="s">
        <v>63</v>
      </c>
      <c r="C188" s="57" t="s">
        <v>612</v>
      </c>
      <c r="D188" s="186" t="s">
        <v>946</v>
      </c>
      <c r="E188" s="187"/>
      <c r="F188" s="57" t="s">
        <v>1004</v>
      </c>
      <c r="G188" s="65">
        <v>2</v>
      </c>
      <c r="H188" s="103">
        <v>0</v>
      </c>
      <c r="I188" s="19"/>
    </row>
    <row r="189" spans="1:9" x14ac:dyDescent="0.2">
      <c r="A189" s="49" t="s">
        <v>289</v>
      </c>
      <c r="B189" s="57" t="s">
        <v>63</v>
      </c>
      <c r="C189" s="57" t="s">
        <v>613</v>
      </c>
      <c r="D189" s="186" t="s">
        <v>947</v>
      </c>
      <c r="E189" s="187"/>
      <c r="F189" s="57" t="s">
        <v>1004</v>
      </c>
      <c r="G189" s="65">
        <v>1</v>
      </c>
      <c r="H189" s="103">
        <v>0</v>
      </c>
      <c r="I189" s="19"/>
    </row>
    <row r="190" spans="1:9" ht="12.2" customHeight="1" x14ac:dyDescent="0.2">
      <c r="A190" s="47" t="s">
        <v>290</v>
      </c>
      <c r="B190" s="55" t="s">
        <v>63</v>
      </c>
      <c r="C190" s="55" t="s">
        <v>614</v>
      </c>
      <c r="D190" s="194" t="s">
        <v>1098</v>
      </c>
      <c r="E190" s="195"/>
      <c r="F190" s="194"/>
      <c r="G190" s="98">
        <v>3</v>
      </c>
      <c r="H190" s="102">
        <v>0</v>
      </c>
      <c r="I190" s="19"/>
    </row>
    <row r="191" spans="1:9" ht="12.2" customHeight="1" x14ac:dyDescent="0.2">
      <c r="A191" s="49" t="s">
        <v>291</v>
      </c>
      <c r="B191" s="57" t="s">
        <v>63</v>
      </c>
      <c r="C191" s="57" t="s">
        <v>615</v>
      </c>
      <c r="D191" s="196" t="s">
        <v>1098</v>
      </c>
      <c r="E191" s="197"/>
      <c r="F191" s="196"/>
      <c r="G191" s="99">
        <v>3</v>
      </c>
      <c r="H191" s="103">
        <v>0</v>
      </c>
      <c r="I191" s="19"/>
    </row>
    <row r="192" spans="1:9" ht="12.2" customHeight="1" x14ac:dyDescent="0.2">
      <c r="A192" s="47" t="s">
        <v>292</v>
      </c>
      <c r="B192" s="55" t="s">
        <v>63</v>
      </c>
      <c r="C192" s="55" t="s">
        <v>616</v>
      </c>
      <c r="D192" s="194" t="s">
        <v>1099</v>
      </c>
      <c r="E192" s="195"/>
      <c r="F192" s="194"/>
      <c r="G192" s="98">
        <v>4</v>
      </c>
      <c r="H192" s="102">
        <v>0</v>
      </c>
      <c r="I192" s="19"/>
    </row>
    <row r="193" spans="1:9" x14ac:dyDescent="0.2">
      <c r="A193" s="49" t="s">
        <v>293</v>
      </c>
      <c r="B193" s="57" t="s">
        <v>63</v>
      </c>
      <c r="C193" s="57" t="s">
        <v>617</v>
      </c>
      <c r="D193" s="186" t="s">
        <v>951</v>
      </c>
      <c r="E193" s="187"/>
      <c r="F193" s="57" t="s">
        <v>1004</v>
      </c>
      <c r="G193" s="65">
        <v>2</v>
      </c>
      <c r="H193" s="103">
        <v>0</v>
      </c>
      <c r="I193" s="19"/>
    </row>
    <row r="194" spans="1:9" x14ac:dyDescent="0.2">
      <c r="A194" s="49" t="s">
        <v>294</v>
      </c>
      <c r="B194" s="57" t="s">
        <v>63</v>
      </c>
      <c r="C194" s="57" t="s">
        <v>618</v>
      </c>
      <c r="D194" s="186" t="s">
        <v>952</v>
      </c>
      <c r="E194" s="187"/>
      <c r="F194" s="57" t="s">
        <v>1004</v>
      </c>
      <c r="G194" s="65">
        <v>2</v>
      </c>
      <c r="H194" s="103">
        <v>0</v>
      </c>
      <c r="I194" s="19"/>
    </row>
    <row r="195" spans="1:9" x14ac:dyDescent="0.2">
      <c r="A195" s="49" t="s">
        <v>295</v>
      </c>
      <c r="B195" s="57" t="s">
        <v>63</v>
      </c>
      <c r="C195" s="57" t="s">
        <v>619</v>
      </c>
      <c r="D195" s="186" t="s">
        <v>953</v>
      </c>
      <c r="E195" s="187"/>
      <c r="F195" s="57" t="s">
        <v>1007</v>
      </c>
      <c r="G195" s="65">
        <v>10</v>
      </c>
      <c r="H195" s="103">
        <v>0</v>
      </c>
      <c r="I195" s="19"/>
    </row>
    <row r="196" spans="1:9" ht="12.2" customHeight="1" x14ac:dyDescent="0.2">
      <c r="A196" s="47" t="s">
        <v>296</v>
      </c>
      <c r="B196" s="55" t="s">
        <v>63</v>
      </c>
      <c r="C196" s="55" t="s">
        <v>620</v>
      </c>
      <c r="D196" s="194" t="s">
        <v>1100</v>
      </c>
      <c r="E196" s="195"/>
      <c r="F196" s="194"/>
      <c r="G196" s="98">
        <v>14</v>
      </c>
      <c r="H196" s="102">
        <v>0</v>
      </c>
      <c r="I196" s="19"/>
    </row>
    <row r="197" spans="1:9" ht="12.2" customHeight="1" x14ac:dyDescent="0.2">
      <c r="A197" s="49" t="s">
        <v>297</v>
      </c>
      <c r="B197" s="57" t="s">
        <v>63</v>
      </c>
      <c r="C197" s="57" t="s">
        <v>621</v>
      </c>
      <c r="D197" s="196" t="s">
        <v>1100</v>
      </c>
      <c r="E197" s="197"/>
      <c r="F197" s="196"/>
      <c r="G197" s="99">
        <v>14</v>
      </c>
      <c r="H197" s="103">
        <v>0</v>
      </c>
      <c r="I197" s="19"/>
    </row>
    <row r="198" spans="1:9" ht="12.2" customHeight="1" x14ac:dyDescent="0.2">
      <c r="A198" s="47" t="s">
        <v>298</v>
      </c>
      <c r="B198" s="55" t="s">
        <v>63</v>
      </c>
      <c r="C198" s="55" t="s">
        <v>622</v>
      </c>
      <c r="D198" s="194" t="s">
        <v>1100</v>
      </c>
      <c r="E198" s="195"/>
      <c r="F198" s="194"/>
      <c r="G198" s="98">
        <v>14</v>
      </c>
      <c r="H198" s="102">
        <v>0</v>
      </c>
      <c r="I198" s="19"/>
    </row>
    <row r="199" spans="1:9" ht="12.2" customHeight="1" x14ac:dyDescent="0.2">
      <c r="A199" s="49" t="s">
        <v>299</v>
      </c>
      <c r="B199" s="57" t="s">
        <v>63</v>
      </c>
      <c r="C199" s="57" t="s">
        <v>623</v>
      </c>
      <c r="D199" s="196" t="s">
        <v>1100</v>
      </c>
      <c r="E199" s="197"/>
      <c r="F199" s="196"/>
      <c r="G199" s="99">
        <v>14</v>
      </c>
      <c r="H199" s="103">
        <v>0</v>
      </c>
      <c r="I199" s="19"/>
    </row>
    <row r="200" spans="1:9" x14ac:dyDescent="0.2">
      <c r="A200" s="47" t="s">
        <v>300</v>
      </c>
      <c r="B200" s="55" t="s">
        <v>63</v>
      </c>
      <c r="C200" s="55" t="s">
        <v>624</v>
      </c>
      <c r="D200" s="178" t="s">
        <v>958</v>
      </c>
      <c r="E200" s="179"/>
      <c r="F200" s="55" t="s">
        <v>1000</v>
      </c>
      <c r="G200" s="64">
        <v>3584.0039999999999</v>
      </c>
      <c r="H200" s="102">
        <v>0</v>
      </c>
      <c r="I200" s="19"/>
    </row>
    <row r="201" spans="1:9" x14ac:dyDescent="0.2">
      <c r="A201" s="47" t="s">
        <v>301</v>
      </c>
      <c r="B201" s="55" t="s">
        <v>64</v>
      </c>
      <c r="C201" s="55" t="s">
        <v>650</v>
      </c>
      <c r="D201" s="178" t="s">
        <v>900</v>
      </c>
      <c r="E201" s="179"/>
      <c r="F201" s="55" t="s">
        <v>1002</v>
      </c>
      <c r="G201" s="64">
        <v>1</v>
      </c>
      <c r="H201" s="102">
        <v>0</v>
      </c>
      <c r="I201" s="19"/>
    </row>
    <row r="202" spans="1:9" x14ac:dyDescent="0.2">
      <c r="A202" s="49" t="s">
        <v>302</v>
      </c>
      <c r="B202" s="57" t="s">
        <v>64</v>
      </c>
      <c r="C202" s="57" t="s">
        <v>651</v>
      </c>
      <c r="D202" s="186" t="s">
        <v>902</v>
      </c>
      <c r="E202" s="187"/>
      <c r="F202" s="57" t="s">
        <v>1006</v>
      </c>
      <c r="G202" s="65">
        <v>1</v>
      </c>
      <c r="H202" s="103">
        <v>0</v>
      </c>
      <c r="I202" s="19"/>
    </row>
    <row r="203" spans="1:9" x14ac:dyDescent="0.2">
      <c r="A203" s="47" t="s">
        <v>303</v>
      </c>
      <c r="B203" s="55" t="s">
        <v>64</v>
      </c>
      <c r="C203" s="55" t="s">
        <v>652</v>
      </c>
      <c r="D203" s="178" t="s">
        <v>903</v>
      </c>
      <c r="E203" s="179"/>
      <c r="F203" s="55" t="s">
        <v>1002</v>
      </c>
      <c r="G203" s="64">
        <v>1</v>
      </c>
      <c r="H203" s="102">
        <v>0</v>
      </c>
      <c r="I203" s="19"/>
    </row>
    <row r="204" spans="1:9" x14ac:dyDescent="0.2">
      <c r="A204" s="49" t="s">
        <v>304</v>
      </c>
      <c r="B204" s="57" t="s">
        <v>64</v>
      </c>
      <c r="C204" s="57" t="s">
        <v>653</v>
      </c>
      <c r="D204" s="186" t="s">
        <v>905</v>
      </c>
      <c r="E204" s="187"/>
      <c r="F204" s="57" t="s">
        <v>1004</v>
      </c>
      <c r="G204" s="65">
        <v>2</v>
      </c>
      <c r="H204" s="103">
        <v>0</v>
      </c>
      <c r="I204" s="19"/>
    </row>
    <row r="205" spans="1:9" x14ac:dyDescent="0.2">
      <c r="A205" s="47" t="s">
        <v>305</v>
      </c>
      <c r="B205" s="55" t="s">
        <v>64</v>
      </c>
      <c r="C205" s="55" t="s">
        <v>576</v>
      </c>
      <c r="D205" s="178" t="s">
        <v>904</v>
      </c>
      <c r="E205" s="179"/>
      <c r="F205" s="55" t="s">
        <v>1003</v>
      </c>
      <c r="G205" s="64">
        <v>2</v>
      </c>
      <c r="H205" s="102">
        <v>0</v>
      </c>
      <c r="I205" s="19"/>
    </row>
    <row r="206" spans="1:9" x14ac:dyDescent="0.2">
      <c r="A206" s="49" t="s">
        <v>306</v>
      </c>
      <c r="B206" s="57" t="s">
        <v>64</v>
      </c>
      <c r="C206" s="57" t="s">
        <v>654</v>
      </c>
      <c r="D206" s="186" t="s">
        <v>906</v>
      </c>
      <c r="E206" s="187"/>
      <c r="F206" s="57" t="s">
        <v>1004</v>
      </c>
      <c r="G206" s="65">
        <v>1</v>
      </c>
      <c r="H206" s="103">
        <v>0</v>
      </c>
      <c r="I206" s="19"/>
    </row>
    <row r="207" spans="1:9" x14ac:dyDescent="0.2">
      <c r="A207" s="49" t="s">
        <v>307</v>
      </c>
      <c r="B207" s="57" t="s">
        <v>64</v>
      </c>
      <c r="C207" s="57" t="s">
        <v>655</v>
      </c>
      <c r="D207" s="186" t="s">
        <v>908</v>
      </c>
      <c r="E207" s="187"/>
      <c r="F207" s="57" t="s">
        <v>1007</v>
      </c>
      <c r="G207" s="65">
        <v>5</v>
      </c>
      <c r="H207" s="103">
        <v>0</v>
      </c>
      <c r="I207" s="19"/>
    </row>
    <row r="208" spans="1:9" x14ac:dyDescent="0.2">
      <c r="A208" s="47" t="s">
        <v>308</v>
      </c>
      <c r="B208" s="55" t="s">
        <v>64</v>
      </c>
      <c r="C208" s="55" t="s">
        <v>656</v>
      </c>
      <c r="D208" s="178" t="s">
        <v>909</v>
      </c>
      <c r="E208" s="179"/>
      <c r="F208" s="55" t="s">
        <v>1002</v>
      </c>
      <c r="G208" s="64">
        <v>1</v>
      </c>
      <c r="H208" s="102">
        <v>0</v>
      </c>
      <c r="I208" s="19"/>
    </row>
    <row r="209" spans="1:9" x14ac:dyDescent="0.2">
      <c r="A209" s="49" t="s">
        <v>309</v>
      </c>
      <c r="B209" s="57" t="s">
        <v>64</v>
      </c>
      <c r="C209" s="57" t="s">
        <v>657</v>
      </c>
      <c r="D209" s="186" t="s">
        <v>910</v>
      </c>
      <c r="E209" s="187"/>
      <c r="F209" s="57" t="s">
        <v>1004</v>
      </c>
      <c r="G209" s="65">
        <v>2</v>
      </c>
      <c r="H209" s="103">
        <v>0</v>
      </c>
      <c r="I209" s="19"/>
    </row>
    <row r="210" spans="1:9" x14ac:dyDescent="0.2">
      <c r="A210" s="47" t="s">
        <v>310</v>
      </c>
      <c r="B210" s="55" t="s">
        <v>64</v>
      </c>
      <c r="C210" s="55" t="s">
        <v>582</v>
      </c>
      <c r="D210" s="178" t="s">
        <v>911</v>
      </c>
      <c r="E210" s="179"/>
      <c r="F210" s="55" t="s">
        <v>1003</v>
      </c>
      <c r="G210" s="64">
        <v>2</v>
      </c>
      <c r="H210" s="102">
        <v>0</v>
      </c>
      <c r="I210" s="19"/>
    </row>
    <row r="211" spans="1:9" ht="12.2" customHeight="1" x14ac:dyDescent="0.2">
      <c r="A211" s="47" t="s">
        <v>311</v>
      </c>
      <c r="B211" s="55" t="s">
        <v>64</v>
      </c>
      <c r="C211" s="55" t="s">
        <v>658</v>
      </c>
      <c r="D211" s="194" t="s">
        <v>1092</v>
      </c>
      <c r="E211" s="195"/>
      <c r="F211" s="194"/>
      <c r="G211" s="98">
        <v>8</v>
      </c>
      <c r="H211" s="102">
        <v>0</v>
      </c>
      <c r="I211" s="19"/>
    </row>
    <row r="212" spans="1:9" ht="12.2" customHeight="1" x14ac:dyDescent="0.2">
      <c r="A212" s="49" t="s">
        <v>312</v>
      </c>
      <c r="B212" s="57" t="s">
        <v>64</v>
      </c>
      <c r="C212" s="57" t="s">
        <v>659</v>
      </c>
      <c r="D212" s="196" t="s">
        <v>1092</v>
      </c>
      <c r="E212" s="197"/>
      <c r="F212" s="196"/>
      <c r="G212" s="99">
        <v>8</v>
      </c>
      <c r="H212" s="103">
        <v>0</v>
      </c>
      <c r="I212" s="19"/>
    </row>
    <row r="213" spans="1:9" x14ac:dyDescent="0.2">
      <c r="A213" s="47" t="s">
        <v>313</v>
      </c>
      <c r="B213" s="55" t="s">
        <v>64</v>
      </c>
      <c r="C213" s="55" t="s">
        <v>660</v>
      </c>
      <c r="D213" s="178" t="s">
        <v>914</v>
      </c>
      <c r="E213" s="179"/>
      <c r="F213" s="55" t="s">
        <v>1001</v>
      </c>
      <c r="G213" s="64">
        <v>6</v>
      </c>
      <c r="H213" s="102">
        <v>0</v>
      </c>
      <c r="I213" s="19"/>
    </row>
    <row r="214" spans="1:9" x14ac:dyDescent="0.2">
      <c r="A214" s="49" t="s">
        <v>314</v>
      </c>
      <c r="B214" s="57" t="s">
        <v>64</v>
      </c>
      <c r="C214" s="57" t="s">
        <v>661</v>
      </c>
      <c r="D214" s="186" t="s">
        <v>916</v>
      </c>
      <c r="E214" s="187"/>
      <c r="F214" s="57" t="s">
        <v>1001</v>
      </c>
      <c r="G214" s="65">
        <v>6</v>
      </c>
      <c r="H214" s="103">
        <v>0</v>
      </c>
      <c r="I214" s="19"/>
    </row>
    <row r="215" spans="1:9" x14ac:dyDescent="0.2">
      <c r="A215" s="49" t="s">
        <v>315</v>
      </c>
      <c r="B215" s="57" t="s">
        <v>64</v>
      </c>
      <c r="C215" s="57" t="s">
        <v>662</v>
      </c>
      <c r="D215" s="186" t="s">
        <v>917</v>
      </c>
      <c r="E215" s="187"/>
      <c r="F215" s="57" t="s">
        <v>1007</v>
      </c>
      <c r="G215" s="65">
        <v>1</v>
      </c>
      <c r="H215" s="103">
        <v>0</v>
      </c>
      <c r="I215" s="19"/>
    </row>
    <row r="216" spans="1:9" x14ac:dyDescent="0.2">
      <c r="A216" s="47" t="s">
        <v>316</v>
      </c>
      <c r="B216" s="55" t="s">
        <v>64</v>
      </c>
      <c r="C216" s="55" t="s">
        <v>663</v>
      </c>
      <c r="D216" s="178" t="s">
        <v>918</v>
      </c>
      <c r="E216" s="179"/>
      <c r="F216" s="55" t="s">
        <v>1001</v>
      </c>
      <c r="G216" s="64">
        <v>2</v>
      </c>
      <c r="H216" s="102">
        <v>0</v>
      </c>
      <c r="I216" s="19"/>
    </row>
    <row r="217" spans="1:9" x14ac:dyDescent="0.2">
      <c r="A217" s="49" t="s">
        <v>317</v>
      </c>
      <c r="B217" s="57" t="s">
        <v>64</v>
      </c>
      <c r="C217" s="57" t="s">
        <v>664</v>
      </c>
      <c r="D217" s="186" t="s">
        <v>920</v>
      </c>
      <c r="E217" s="187"/>
      <c r="F217" s="57" t="s">
        <v>1001</v>
      </c>
      <c r="G217" s="65">
        <v>2</v>
      </c>
      <c r="H217" s="103">
        <v>0</v>
      </c>
      <c r="I217" s="19"/>
    </row>
    <row r="218" spans="1:9" x14ac:dyDescent="0.2">
      <c r="A218" s="47" t="s">
        <v>318</v>
      </c>
      <c r="B218" s="55" t="s">
        <v>64</v>
      </c>
      <c r="C218" s="55" t="s">
        <v>665</v>
      </c>
      <c r="D218" s="178" t="s">
        <v>921</v>
      </c>
      <c r="E218" s="179"/>
      <c r="F218" s="55" t="s">
        <v>1001</v>
      </c>
      <c r="G218" s="64">
        <v>8</v>
      </c>
      <c r="H218" s="102">
        <v>0</v>
      </c>
      <c r="I218" s="19"/>
    </row>
    <row r="219" spans="1:9" x14ac:dyDescent="0.2">
      <c r="A219" s="49" t="s">
        <v>319</v>
      </c>
      <c r="B219" s="57" t="s">
        <v>64</v>
      </c>
      <c r="C219" s="57" t="s">
        <v>666</v>
      </c>
      <c r="D219" s="186" t="s">
        <v>922</v>
      </c>
      <c r="E219" s="187"/>
      <c r="F219" s="57" t="s">
        <v>1001</v>
      </c>
      <c r="G219" s="65">
        <v>8</v>
      </c>
      <c r="H219" s="103">
        <v>0</v>
      </c>
      <c r="I219" s="19"/>
    </row>
    <row r="220" spans="1:9" x14ac:dyDescent="0.2">
      <c r="A220" s="47" t="s">
        <v>320</v>
      </c>
      <c r="B220" s="55" t="s">
        <v>64</v>
      </c>
      <c r="C220" s="55" t="s">
        <v>592</v>
      </c>
      <c r="D220" s="178" t="s">
        <v>923</v>
      </c>
      <c r="E220" s="179"/>
      <c r="F220" s="55" t="s">
        <v>1003</v>
      </c>
      <c r="G220" s="64">
        <v>2</v>
      </c>
      <c r="H220" s="102">
        <v>0</v>
      </c>
      <c r="I220" s="19"/>
    </row>
    <row r="221" spans="1:9" x14ac:dyDescent="0.2">
      <c r="A221" s="49" t="s">
        <v>321</v>
      </c>
      <c r="B221" s="57" t="s">
        <v>64</v>
      </c>
      <c r="C221" s="57" t="s">
        <v>667</v>
      </c>
      <c r="D221" s="186" t="s">
        <v>925</v>
      </c>
      <c r="E221" s="187"/>
      <c r="F221" s="57" t="s">
        <v>1003</v>
      </c>
      <c r="G221" s="65">
        <v>2</v>
      </c>
      <c r="H221" s="103">
        <v>0</v>
      </c>
      <c r="I221" s="19"/>
    </row>
    <row r="222" spans="1:9" x14ac:dyDescent="0.2">
      <c r="A222" s="47" t="s">
        <v>322</v>
      </c>
      <c r="B222" s="55" t="s">
        <v>64</v>
      </c>
      <c r="C222" s="55" t="s">
        <v>594</v>
      </c>
      <c r="D222" s="178" t="s">
        <v>926</v>
      </c>
      <c r="E222" s="179"/>
      <c r="F222" s="55" t="s">
        <v>1003</v>
      </c>
      <c r="G222" s="64">
        <v>4</v>
      </c>
      <c r="H222" s="102">
        <v>0</v>
      </c>
      <c r="I222" s="19"/>
    </row>
    <row r="223" spans="1:9" x14ac:dyDescent="0.2">
      <c r="A223" s="49" t="s">
        <v>323</v>
      </c>
      <c r="B223" s="57" t="s">
        <v>64</v>
      </c>
      <c r="C223" s="57" t="s">
        <v>668</v>
      </c>
      <c r="D223" s="186" t="s">
        <v>928</v>
      </c>
      <c r="E223" s="187"/>
      <c r="F223" s="57" t="s">
        <v>1003</v>
      </c>
      <c r="G223" s="65">
        <v>4</v>
      </c>
      <c r="H223" s="103">
        <v>0</v>
      </c>
      <c r="I223" s="19"/>
    </row>
    <row r="224" spans="1:9" x14ac:dyDescent="0.2">
      <c r="A224" s="47" t="s">
        <v>324</v>
      </c>
      <c r="B224" s="55" t="s">
        <v>64</v>
      </c>
      <c r="C224" s="55" t="s">
        <v>596</v>
      </c>
      <c r="D224" s="178" t="s">
        <v>929</v>
      </c>
      <c r="E224" s="179"/>
      <c r="F224" s="55" t="s">
        <v>1001</v>
      </c>
      <c r="G224" s="64">
        <v>26</v>
      </c>
      <c r="H224" s="102">
        <v>0</v>
      </c>
      <c r="I224" s="19"/>
    </row>
    <row r="225" spans="1:9" ht="12.2" customHeight="1" x14ac:dyDescent="0.2">
      <c r="A225" s="19"/>
      <c r="D225" s="194" t="s">
        <v>1093</v>
      </c>
      <c r="E225" s="195"/>
      <c r="F225" s="195"/>
      <c r="G225" s="98">
        <v>21</v>
      </c>
      <c r="H225" s="16"/>
      <c r="I225" s="19"/>
    </row>
    <row r="226" spans="1:9" ht="12.2" customHeight="1" x14ac:dyDescent="0.2">
      <c r="A226" s="47"/>
      <c r="B226" s="55"/>
      <c r="C226" s="55"/>
      <c r="D226" s="194" t="s">
        <v>1094</v>
      </c>
      <c r="E226" s="195"/>
      <c r="F226" s="194"/>
      <c r="G226" s="98">
        <v>5</v>
      </c>
      <c r="H226" s="79"/>
      <c r="I226" s="19"/>
    </row>
    <row r="227" spans="1:9" ht="12.2" customHeight="1" x14ac:dyDescent="0.2">
      <c r="A227" s="47"/>
      <c r="B227" s="55"/>
      <c r="C227" s="55"/>
      <c r="D227" s="194" t="s">
        <v>1095</v>
      </c>
      <c r="E227" s="195"/>
      <c r="F227" s="194"/>
      <c r="G227" s="98">
        <v>0</v>
      </c>
      <c r="H227" s="79"/>
      <c r="I227" s="19"/>
    </row>
    <row r="228" spans="1:9" x14ac:dyDescent="0.2">
      <c r="A228" s="49" t="s">
        <v>325</v>
      </c>
      <c r="B228" s="57" t="s">
        <v>64</v>
      </c>
      <c r="C228" s="57" t="s">
        <v>669</v>
      </c>
      <c r="D228" s="186" t="s">
        <v>930</v>
      </c>
      <c r="E228" s="187"/>
      <c r="F228" s="57" t="s">
        <v>1001</v>
      </c>
      <c r="G228" s="65">
        <v>5</v>
      </c>
      <c r="H228" s="103">
        <v>0</v>
      </c>
      <c r="I228" s="19"/>
    </row>
    <row r="229" spans="1:9" x14ac:dyDescent="0.2">
      <c r="A229" s="49" t="s">
        <v>326</v>
      </c>
      <c r="B229" s="57" t="s">
        <v>64</v>
      </c>
      <c r="C229" s="57" t="s">
        <v>670</v>
      </c>
      <c r="D229" s="186" t="s">
        <v>931</v>
      </c>
      <c r="E229" s="187"/>
      <c r="F229" s="57" t="s">
        <v>1001</v>
      </c>
      <c r="G229" s="65">
        <v>3</v>
      </c>
      <c r="H229" s="103">
        <v>0</v>
      </c>
      <c r="I229" s="19"/>
    </row>
    <row r="230" spans="1:9" x14ac:dyDescent="0.2">
      <c r="A230" s="49" t="s">
        <v>327</v>
      </c>
      <c r="B230" s="57" t="s">
        <v>64</v>
      </c>
      <c r="C230" s="57" t="s">
        <v>671</v>
      </c>
      <c r="D230" s="186" t="s">
        <v>933</v>
      </c>
      <c r="E230" s="187"/>
      <c r="F230" s="57" t="s">
        <v>1001</v>
      </c>
      <c r="G230" s="65">
        <v>3</v>
      </c>
      <c r="H230" s="103">
        <v>0</v>
      </c>
      <c r="I230" s="19"/>
    </row>
    <row r="231" spans="1:9" x14ac:dyDescent="0.2">
      <c r="A231" s="49" t="s">
        <v>328</v>
      </c>
      <c r="B231" s="57" t="s">
        <v>64</v>
      </c>
      <c r="C231" s="57" t="s">
        <v>672</v>
      </c>
      <c r="D231" s="186" t="s">
        <v>934</v>
      </c>
      <c r="E231" s="187"/>
      <c r="F231" s="57" t="s">
        <v>1001</v>
      </c>
      <c r="G231" s="65">
        <v>7</v>
      </c>
      <c r="H231" s="103">
        <v>0</v>
      </c>
      <c r="I231" s="19"/>
    </row>
    <row r="232" spans="1:9" x14ac:dyDescent="0.2">
      <c r="A232" s="49" t="s">
        <v>329</v>
      </c>
      <c r="B232" s="57" t="s">
        <v>64</v>
      </c>
      <c r="C232" s="57" t="s">
        <v>673</v>
      </c>
      <c r="D232" s="186" t="s">
        <v>935</v>
      </c>
      <c r="E232" s="187"/>
      <c r="F232" s="57" t="s">
        <v>1001</v>
      </c>
      <c r="G232" s="65">
        <v>3</v>
      </c>
      <c r="H232" s="103">
        <v>0</v>
      </c>
      <c r="I232" s="19"/>
    </row>
    <row r="233" spans="1:9" x14ac:dyDescent="0.2">
      <c r="A233" s="49" t="s">
        <v>330</v>
      </c>
      <c r="B233" s="57" t="s">
        <v>64</v>
      </c>
      <c r="C233" s="57" t="s">
        <v>674</v>
      </c>
      <c r="D233" s="186" t="s">
        <v>936</v>
      </c>
      <c r="E233" s="187"/>
      <c r="F233" s="57" t="s">
        <v>1001</v>
      </c>
      <c r="G233" s="65">
        <v>2</v>
      </c>
      <c r="H233" s="103">
        <v>0</v>
      </c>
      <c r="I233" s="19"/>
    </row>
    <row r="234" spans="1:9" x14ac:dyDescent="0.2">
      <c r="A234" s="49" t="s">
        <v>331</v>
      </c>
      <c r="B234" s="57" t="s">
        <v>64</v>
      </c>
      <c r="C234" s="57" t="s">
        <v>675</v>
      </c>
      <c r="D234" s="186" t="s">
        <v>937</v>
      </c>
      <c r="E234" s="187"/>
      <c r="F234" s="57" t="s">
        <v>1001</v>
      </c>
      <c r="G234" s="65">
        <v>3</v>
      </c>
      <c r="H234" s="103">
        <v>0</v>
      </c>
      <c r="I234" s="19"/>
    </row>
    <row r="235" spans="1:9" x14ac:dyDescent="0.2">
      <c r="A235" s="47" t="s">
        <v>332</v>
      </c>
      <c r="B235" s="55" t="s">
        <v>64</v>
      </c>
      <c r="C235" s="55" t="s">
        <v>604</v>
      </c>
      <c r="D235" s="178" t="s">
        <v>938</v>
      </c>
      <c r="E235" s="179"/>
      <c r="F235" s="55" t="s">
        <v>1003</v>
      </c>
      <c r="G235" s="64">
        <v>4</v>
      </c>
      <c r="H235" s="102">
        <v>0</v>
      </c>
      <c r="I235" s="19"/>
    </row>
    <row r="236" spans="1:9" x14ac:dyDescent="0.2">
      <c r="A236" s="49" t="s">
        <v>333</v>
      </c>
      <c r="B236" s="57" t="s">
        <v>64</v>
      </c>
      <c r="C236" s="57" t="s">
        <v>676</v>
      </c>
      <c r="D236" s="186" t="s">
        <v>939</v>
      </c>
      <c r="E236" s="187"/>
      <c r="F236" s="57" t="s">
        <v>1004</v>
      </c>
      <c r="G236" s="65">
        <v>4</v>
      </c>
      <c r="H236" s="103">
        <v>0</v>
      </c>
      <c r="I236" s="19"/>
    </row>
    <row r="237" spans="1:9" x14ac:dyDescent="0.2">
      <c r="A237" s="47" t="s">
        <v>334</v>
      </c>
      <c r="B237" s="55" t="s">
        <v>64</v>
      </c>
      <c r="C237" s="55" t="s">
        <v>606</v>
      </c>
      <c r="D237" s="178" t="s">
        <v>940</v>
      </c>
      <c r="E237" s="179"/>
      <c r="F237" s="55" t="s">
        <v>1003</v>
      </c>
      <c r="G237" s="64">
        <v>12</v>
      </c>
      <c r="H237" s="102">
        <v>0</v>
      </c>
      <c r="I237" s="19"/>
    </row>
    <row r="238" spans="1:9" ht="12.2" customHeight="1" x14ac:dyDescent="0.2">
      <c r="A238" s="19"/>
      <c r="D238" s="194" t="s">
        <v>1096</v>
      </c>
      <c r="E238" s="195"/>
      <c r="F238" s="195"/>
      <c r="G238" s="98">
        <v>10</v>
      </c>
      <c r="H238" s="16"/>
      <c r="I238" s="19"/>
    </row>
    <row r="239" spans="1:9" ht="12.2" customHeight="1" x14ac:dyDescent="0.2">
      <c r="A239" s="47"/>
      <c r="B239" s="55"/>
      <c r="C239" s="55"/>
      <c r="D239" s="194" t="s">
        <v>1097</v>
      </c>
      <c r="E239" s="195"/>
      <c r="F239" s="194"/>
      <c r="G239" s="98">
        <v>2</v>
      </c>
      <c r="H239" s="79"/>
      <c r="I239" s="19"/>
    </row>
    <row r="240" spans="1:9" ht="12.2" customHeight="1" x14ac:dyDescent="0.2">
      <c r="A240" s="47"/>
      <c r="B240" s="55"/>
      <c r="C240" s="55"/>
      <c r="D240" s="194" t="s">
        <v>1095</v>
      </c>
      <c r="E240" s="195"/>
      <c r="F240" s="194"/>
      <c r="G240" s="98">
        <v>0</v>
      </c>
      <c r="H240" s="79"/>
      <c r="I240" s="19"/>
    </row>
    <row r="241" spans="1:9" x14ac:dyDescent="0.2">
      <c r="A241" s="49" t="s">
        <v>335</v>
      </c>
      <c r="B241" s="57" t="s">
        <v>64</v>
      </c>
      <c r="C241" s="57" t="s">
        <v>677</v>
      </c>
      <c r="D241" s="186" t="s">
        <v>941</v>
      </c>
      <c r="E241" s="187"/>
      <c r="F241" s="57" t="s">
        <v>1004</v>
      </c>
      <c r="G241" s="65">
        <v>2</v>
      </c>
      <c r="H241" s="103">
        <v>0</v>
      </c>
      <c r="I241" s="19"/>
    </row>
    <row r="242" spans="1:9" x14ac:dyDescent="0.2">
      <c r="A242" s="49" t="s">
        <v>336</v>
      </c>
      <c r="B242" s="57" t="s">
        <v>64</v>
      </c>
      <c r="C242" s="57" t="s">
        <v>678</v>
      </c>
      <c r="D242" s="186" t="s">
        <v>943</v>
      </c>
      <c r="E242" s="187"/>
      <c r="F242" s="57" t="s">
        <v>1004</v>
      </c>
      <c r="G242" s="65">
        <v>2</v>
      </c>
      <c r="H242" s="103">
        <v>0</v>
      </c>
      <c r="I242" s="19"/>
    </row>
    <row r="243" spans="1:9" x14ac:dyDescent="0.2">
      <c r="A243" s="49" t="s">
        <v>337</v>
      </c>
      <c r="B243" s="57" t="s">
        <v>64</v>
      </c>
      <c r="C243" s="57" t="s">
        <v>679</v>
      </c>
      <c r="D243" s="186" t="s">
        <v>944</v>
      </c>
      <c r="E243" s="187"/>
      <c r="F243" s="57" t="s">
        <v>1004</v>
      </c>
      <c r="G243" s="65">
        <v>2</v>
      </c>
      <c r="H243" s="103">
        <v>0</v>
      </c>
      <c r="I243" s="19"/>
    </row>
    <row r="244" spans="1:9" x14ac:dyDescent="0.2">
      <c r="A244" s="49" t="s">
        <v>338</v>
      </c>
      <c r="B244" s="57" t="s">
        <v>64</v>
      </c>
      <c r="C244" s="57" t="s">
        <v>680</v>
      </c>
      <c r="D244" s="186" t="s">
        <v>945</v>
      </c>
      <c r="E244" s="187"/>
      <c r="F244" s="57" t="s">
        <v>1004</v>
      </c>
      <c r="G244" s="65">
        <v>2</v>
      </c>
      <c r="H244" s="103">
        <v>0</v>
      </c>
      <c r="I244" s="19"/>
    </row>
    <row r="245" spans="1:9" x14ac:dyDescent="0.2">
      <c r="A245" s="49" t="s">
        <v>339</v>
      </c>
      <c r="B245" s="57" t="s">
        <v>64</v>
      </c>
      <c r="C245" s="57" t="s">
        <v>681</v>
      </c>
      <c r="D245" s="186" t="s">
        <v>946</v>
      </c>
      <c r="E245" s="187"/>
      <c r="F245" s="57" t="s">
        <v>1004</v>
      </c>
      <c r="G245" s="65">
        <v>2</v>
      </c>
      <c r="H245" s="103">
        <v>0</v>
      </c>
      <c r="I245" s="19"/>
    </row>
    <row r="246" spans="1:9" x14ac:dyDescent="0.2">
      <c r="A246" s="49" t="s">
        <v>340</v>
      </c>
      <c r="B246" s="57" t="s">
        <v>64</v>
      </c>
      <c r="C246" s="57" t="s">
        <v>682</v>
      </c>
      <c r="D246" s="186" t="s">
        <v>942</v>
      </c>
      <c r="E246" s="187"/>
      <c r="F246" s="57" t="s">
        <v>1004</v>
      </c>
      <c r="G246" s="65">
        <v>1</v>
      </c>
      <c r="H246" s="103">
        <v>0</v>
      </c>
      <c r="I246" s="19"/>
    </row>
    <row r="247" spans="1:9" x14ac:dyDescent="0.2">
      <c r="A247" s="49" t="s">
        <v>341</v>
      </c>
      <c r="B247" s="57" t="s">
        <v>64</v>
      </c>
      <c r="C247" s="57" t="s">
        <v>683</v>
      </c>
      <c r="D247" s="186" t="s">
        <v>947</v>
      </c>
      <c r="E247" s="187"/>
      <c r="F247" s="57" t="s">
        <v>1004</v>
      </c>
      <c r="G247" s="65">
        <v>1</v>
      </c>
      <c r="H247" s="103">
        <v>0</v>
      </c>
      <c r="I247" s="19"/>
    </row>
    <row r="248" spans="1:9" ht="12.2" customHeight="1" x14ac:dyDescent="0.2">
      <c r="A248" s="47" t="s">
        <v>342</v>
      </c>
      <c r="B248" s="55" t="s">
        <v>64</v>
      </c>
      <c r="C248" s="55" t="s">
        <v>614</v>
      </c>
      <c r="D248" s="194" t="s">
        <v>1098</v>
      </c>
      <c r="E248" s="195"/>
      <c r="F248" s="194"/>
      <c r="G248" s="98">
        <v>3</v>
      </c>
      <c r="H248" s="102">
        <v>0</v>
      </c>
      <c r="I248" s="19"/>
    </row>
    <row r="249" spans="1:9" ht="12.2" customHeight="1" x14ac:dyDescent="0.2">
      <c r="A249" s="47" t="s">
        <v>343</v>
      </c>
      <c r="B249" s="55" t="s">
        <v>64</v>
      </c>
      <c r="C249" s="55" t="s">
        <v>616</v>
      </c>
      <c r="D249" s="194" t="s">
        <v>1099</v>
      </c>
      <c r="E249" s="195"/>
      <c r="F249" s="194"/>
      <c r="G249" s="98">
        <v>4</v>
      </c>
      <c r="H249" s="102">
        <v>0</v>
      </c>
      <c r="I249" s="19"/>
    </row>
    <row r="250" spans="1:9" ht="12.2" customHeight="1" x14ac:dyDescent="0.2">
      <c r="A250" s="49" t="s">
        <v>344</v>
      </c>
      <c r="B250" s="57" t="s">
        <v>64</v>
      </c>
      <c r="C250" s="57" t="s">
        <v>684</v>
      </c>
      <c r="D250" s="196" t="s">
        <v>1098</v>
      </c>
      <c r="E250" s="197"/>
      <c r="F250" s="196"/>
      <c r="G250" s="99">
        <v>3</v>
      </c>
      <c r="H250" s="103">
        <v>0</v>
      </c>
      <c r="I250" s="19"/>
    </row>
    <row r="251" spans="1:9" x14ac:dyDescent="0.2">
      <c r="A251" s="49" t="s">
        <v>345</v>
      </c>
      <c r="B251" s="57" t="s">
        <v>64</v>
      </c>
      <c r="C251" s="57" t="s">
        <v>685</v>
      </c>
      <c r="D251" s="186" t="s">
        <v>951</v>
      </c>
      <c r="E251" s="187"/>
      <c r="F251" s="57" t="s">
        <v>1004</v>
      </c>
      <c r="G251" s="65">
        <v>2</v>
      </c>
      <c r="H251" s="103">
        <v>0</v>
      </c>
      <c r="I251" s="19"/>
    </row>
    <row r="252" spans="1:9" x14ac:dyDescent="0.2">
      <c r="A252" s="49" t="s">
        <v>346</v>
      </c>
      <c r="B252" s="57" t="s">
        <v>64</v>
      </c>
      <c r="C252" s="57" t="s">
        <v>686</v>
      </c>
      <c r="D252" s="186" t="s">
        <v>952</v>
      </c>
      <c r="E252" s="187"/>
      <c r="F252" s="57" t="s">
        <v>1004</v>
      </c>
      <c r="G252" s="65">
        <v>2</v>
      </c>
      <c r="H252" s="103">
        <v>0</v>
      </c>
      <c r="I252" s="19"/>
    </row>
    <row r="253" spans="1:9" x14ac:dyDescent="0.2">
      <c r="A253" s="49" t="s">
        <v>347</v>
      </c>
      <c r="B253" s="57" t="s">
        <v>64</v>
      </c>
      <c r="C253" s="57" t="s">
        <v>687</v>
      </c>
      <c r="D253" s="186" t="s">
        <v>953</v>
      </c>
      <c r="E253" s="187"/>
      <c r="F253" s="57" t="s">
        <v>1007</v>
      </c>
      <c r="G253" s="65">
        <v>10</v>
      </c>
      <c r="H253" s="103">
        <v>0</v>
      </c>
      <c r="I253" s="19"/>
    </row>
    <row r="254" spans="1:9" ht="12.2" customHeight="1" x14ac:dyDescent="0.2">
      <c r="A254" s="47" t="s">
        <v>348</v>
      </c>
      <c r="B254" s="55" t="s">
        <v>64</v>
      </c>
      <c r="C254" s="55" t="s">
        <v>620</v>
      </c>
      <c r="D254" s="194" t="s">
        <v>1100</v>
      </c>
      <c r="E254" s="195"/>
      <c r="F254" s="194"/>
      <c r="G254" s="98">
        <v>14</v>
      </c>
      <c r="H254" s="102">
        <v>0</v>
      </c>
      <c r="I254" s="19"/>
    </row>
    <row r="255" spans="1:9" ht="12.2" customHeight="1" x14ac:dyDescent="0.2">
      <c r="A255" s="49" t="s">
        <v>349</v>
      </c>
      <c r="B255" s="57" t="s">
        <v>64</v>
      </c>
      <c r="C255" s="57" t="s">
        <v>688</v>
      </c>
      <c r="D255" s="196" t="s">
        <v>1100</v>
      </c>
      <c r="E255" s="197"/>
      <c r="F255" s="196"/>
      <c r="G255" s="99">
        <v>14</v>
      </c>
      <c r="H255" s="103">
        <v>0</v>
      </c>
      <c r="I255" s="19"/>
    </row>
    <row r="256" spans="1:9" ht="12.2" customHeight="1" x14ac:dyDescent="0.2">
      <c r="A256" s="47" t="s">
        <v>350</v>
      </c>
      <c r="B256" s="55" t="s">
        <v>64</v>
      </c>
      <c r="C256" s="55" t="s">
        <v>622</v>
      </c>
      <c r="D256" s="194" t="s">
        <v>1100</v>
      </c>
      <c r="E256" s="195"/>
      <c r="F256" s="194"/>
      <c r="G256" s="98">
        <v>14</v>
      </c>
      <c r="H256" s="102">
        <v>0</v>
      </c>
      <c r="I256" s="19"/>
    </row>
    <row r="257" spans="1:9" ht="12.2" customHeight="1" x14ac:dyDescent="0.2">
      <c r="A257" s="49" t="s">
        <v>351</v>
      </c>
      <c r="B257" s="57" t="s">
        <v>64</v>
      </c>
      <c r="C257" s="57" t="s">
        <v>689</v>
      </c>
      <c r="D257" s="196" t="s">
        <v>1100</v>
      </c>
      <c r="E257" s="197"/>
      <c r="F257" s="196"/>
      <c r="G257" s="99">
        <v>14</v>
      </c>
      <c r="H257" s="103">
        <v>0</v>
      </c>
      <c r="I257" s="19"/>
    </row>
    <row r="258" spans="1:9" x14ac:dyDescent="0.2">
      <c r="A258" s="47" t="s">
        <v>352</v>
      </c>
      <c r="B258" s="55" t="s">
        <v>64</v>
      </c>
      <c r="C258" s="55" t="s">
        <v>624</v>
      </c>
      <c r="D258" s="178" t="s">
        <v>958</v>
      </c>
      <c r="E258" s="179"/>
      <c r="F258" s="55" t="s">
        <v>1000</v>
      </c>
      <c r="G258" s="64">
        <v>3584.0039999999999</v>
      </c>
      <c r="H258" s="102">
        <v>0</v>
      </c>
      <c r="I258" s="19"/>
    </row>
    <row r="259" spans="1:9" x14ac:dyDescent="0.2">
      <c r="A259" s="47" t="s">
        <v>353</v>
      </c>
      <c r="B259" s="55" t="s">
        <v>65</v>
      </c>
      <c r="C259" s="55" t="s">
        <v>712</v>
      </c>
      <c r="D259" s="178" t="s">
        <v>900</v>
      </c>
      <c r="E259" s="179"/>
      <c r="F259" s="55" t="s">
        <v>1002</v>
      </c>
      <c r="G259" s="64">
        <v>1</v>
      </c>
      <c r="H259" s="102">
        <v>0</v>
      </c>
      <c r="I259" s="19"/>
    </row>
    <row r="260" spans="1:9" x14ac:dyDescent="0.2">
      <c r="A260" s="47" t="s">
        <v>354</v>
      </c>
      <c r="B260" s="55" t="s">
        <v>65</v>
      </c>
      <c r="C260" s="55" t="s">
        <v>713</v>
      </c>
      <c r="D260" s="178" t="s">
        <v>903</v>
      </c>
      <c r="E260" s="179"/>
      <c r="F260" s="55" t="s">
        <v>1002</v>
      </c>
      <c r="G260" s="64">
        <v>1</v>
      </c>
      <c r="H260" s="102">
        <v>0</v>
      </c>
      <c r="I260" s="19"/>
    </row>
    <row r="261" spans="1:9" x14ac:dyDescent="0.2">
      <c r="A261" s="49" t="s">
        <v>355</v>
      </c>
      <c r="B261" s="57" t="s">
        <v>65</v>
      </c>
      <c r="C261" s="57" t="s">
        <v>714</v>
      </c>
      <c r="D261" s="186" t="s">
        <v>902</v>
      </c>
      <c r="E261" s="187"/>
      <c r="F261" s="57" t="s">
        <v>1006</v>
      </c>
      <c r="G261" s="65">
        <v>1</v>
      </c>
      <c r="H261" s="103">
        <v>0</v>
      </c>
      <c r="I261" s="19"/>
    </row>
    <row r="262" spans="1:9" x14ac:dyDescent="0.2">
      <c r="A262" s="47" t="s">
        <v>356</v>
      </c>
      <c r="B262" s="55" t="s">
        <v>65</v>
      </c>
      <c r="C262" s="55" t="s">
        <v>576</v>
      </c>
      <c r="D262" s="178" t="s">
        <v>904</v>
      </c>
      <c r="E262" s="179"/>
      <c r="F262" s="55" t="s">
        <v>1003</v>
      </c>
      <c r="G262" s="64">
        <v>2</v>
      </c>
      <c r="H262" s="102">
        <v>0</v>
      </c>
      <c r="I262" s="19"/>
    </row>
    <row r="263" spans="1:9" x14ac:dyDescent="0.2">
      <c r="A263" s="49" t="s">
        <v>357</v>
      </c>
      <c r="B263" s="57" t="s">
        <v>65</v>
      </c>
      <c r="C263" s="57" t="s">
        <v>715</v>
      </c>
      <c r="D263" s="186" t="s">
        <v>905</v>
      </c>
      <c r="E263" s="187"/>
      <c r="F263" s="57" t="s">
        <v>1004</v>
      </c>
      <c r="G263" s="65">
        <v>2</v>
      </c>
      <c r="H263" s="103">
        <v>0</v>
      </c>
      <c r="I263" s="19"/>
    </row>
    <row r="264" spans="1:9" x14ac:dyDescent="0.2">
      <c r="A264" s="49" t="s">
        <v>358</v>
      </c>
      <c r="B264" s="57" t="s">
        <v>65</v>
      </c>
      <c r="C264" s="57" t="s">
        <v>716</v>
      </c>
      <c r="D264" s="186" t="s">
        <v>906</v>
      </c>
      <c r="E264" s="187"/>
      <c r="F264" s="57" t="s">
        <v>1004</v>
      </c>
      <c r="G264" s="65">
        <v>1</v>
      </c>
      <c r="H264" s="103">
        <v>0</v>
      </c>
      <c r="I264" s="19"/>
    </row>
    <row r="265" spans="1:9" x14ac:dyDescent="0.2">
      <c r="A265" s="49" t="s">
        <v>359</v>
      </c>
      <c r="B265" s="57" t="s">
        <v>65</v>
      </c>
      <c r="C265" s="57" t="s">
        <v>717</v>
      </c>
      <c r="D265" s="186" t="s">
        <v>908</v>
      </c>
      <c r="E265" s="187"/>
      <c r="F265" s="57" t="s">
        <v>1007</v>
      </c>
      <c r="G265" s="65">
        <v>5</v>
      </c>
      <c r="H265" s="103">
        <v>0</v>
      </c>
      <c r="I265" s="19"/>
    </row>
    <row r="266" spans="1:9" x14ac:dyDescent="0.2">
      <c r="A266" s="47" t="s">
        <v>360</v>
      </c>
      <c r="B266" s="55" t="s">
        <v>65</v>
      </c>
      <c r="C266" s="55" t="s">
        <v>718</v>
      </c>
      <c r="D266" s="178" t="s">
        <v>909</v>
      </c>
      <c r="E266" s="179"/>
      <c r="F266" s="55" t="s">
        <v>1002</v>
      </c>
      <c r="G266" s="64">
        <v>1</v>
      </c>
      <c r="H266" s="102">
        <v>0</v>
      </c>
      <c r="I266" s="19"/>
    </row>
    <row r="267" spans="1:9" x14ac:dyDescent="0.2">
      <c r="A267" s="49" t="s">
        <v>361</v>
      </c>
      <c r="B267" s="57" t="s">
        <v>65</v>
      </c>
      <c r="C267" s="57" t="s">
        <v>719</v>
      </c>
      <c r="D267" s="186" t="s">
        <v>910</v>
      </c>
      <c r="E267" s="187"/>
      <c r="F267" s="57" t="s">
        <v>1004</v>
      </c>
      <c r="G267" s="65">
        <v>2</v>
      </c>
      <c r="H267" s="103">
        <v>0</v>
      </c>
      <c r="I267" s="19"/>
    </row>
    <row r="268" spans="1:9" x14ac:dyDescent="0.2">
      <c r="A268" s="47" t="s">
        <v>362</v>
      </c>
      <c r="B268" s="55" t="s">
        <v>65</v>
      </c>
      <c r="C268" s="55" t="s">
        <v>582</v>
      </c>
      <c r="D268" s="178" t="s">
        <v>911</v>
      </c>
      <c r="E268" s="179"/>
      <c r="F268" s="55" t="s">
        <v>1003</v>
      </c>
      <c r="G268" s="64">
        <v>2</v>
      </c>
      <c r="H268" s="102">
        <v>0</v>
      </c>
      <c r="I268" s="19"/>
    </row>
    <row r="269" spans="1:9" ht="12.2" customHeight="1" x14ac:dyDescent="0.2">
      <c r="A269" s="47" t="s">
        <v>363</v>
      </c>
      <c r="B269" s="55" t="s">
        <v>65</v>
      </c>
      <c r="C269" s="55" t="s">
        <v>720</v>
      </c>
      <c r="D269" s="194" t="s">
        <v>1092</v>
      </c>
      <c r="E269" s="195"/>
      <c r="F269" s="194"/>
      <c r="G269" s="98">
        <v>8</v>
      </c>
      <c r="H269" s="102">
        <v>0</v>
      </c>
      <c r="I269" s="19"/>
    </row>
    <row r="270" spans="1:9" ht="12.2" customHeight="1" x14ac:dyDescent="0.2">
      <c r="A270" s="49" t="s">
        <v>364</v>
      </c>
      <c r="B270" s="57" t="s">
        <v>65</v>
      </c>
      <c r="C270" s="57" t="s">
        <v>721</v>
      </c>
      <c r="D270" s="196" t="s">
        <v>1092</v>
      </c>
      <c r="E270" s="197"/>
      <c r="F270" s="196"/>
      <c r="G270" s="99">
        <v>8</v>
      </c>
      <c r="H270" s="103">
        <v>0</v>
      </c>
      <c r="I270" s="19"/>
    </row>
    <row r="271" spans="1:9" ht="12.2" customHeight="1" x14ac:dyDescent="0.2">
      <c r="A271" s="47" t="s">
        <v>365</v>
      </c>
      <c r="B271" s="55" t="s">
        <v>65</v>
      </c>
      <c r="C271" s="55" t="s">
        <v>722</v>
      </c>
      <c r="D271" s="194" t="s">
        <v>1101</v>
      </c>
      <c r="E271" s="195"/>
      <c r="F271" s="194"/>
      <c r="G271" s="98">
        <v>6</v>
      </c>
      <c r="H271" s="102">
        <v>0</v>
      </c>
      <c r="I271" s="19"/>
    </row>
    <row r="272" spans="1:9" x14ac:dyDescent="0.2">
      <c r="A272" s="49" t="s">
        <v>366</v>
      </c>
      <c r="B272" s="57" t="s">
        <v>65</v>
      </c>
      <c r="C272" s="57" t="s">
        <v>723</v>
      </c>
      <c r="D272" s="186" t="s">
        <v>916</v>
      </c>
      <c r="E272" s="187"/>
      <c r="F272" s="57" t="s">
        <v>1001</v>
      </c>
      <c r="G272" s="65">
        <v>6</v>
      </c>
      <c r="H272" s="103">
        <v>0</v>
      </c>
      <c r="I272" s="19"/>
    </row>
    <row r="273" spans="1:9" x14ac:dyDescent="0.2">
      <c r="A273" s="49" t="s">
        <v>367</v>
      </c>
      <c r="B273" s="57" t="s">
        <v>65</v>
      </c>
      <c r="C273" s="57" t="s">
        <v>724</v>
      </c>
      <c r="D273" s="186" t="s">
        <v>917</v>
      </c>
      <c r="E273" s="187"/>
      <c r="F273" s="57" t="s">
        <v>1007</v>
      </c>
      <c r="G273" s="65">
        <v>1</v>
      </c>
      <c r="H273" s="103">
        <v>0</v>
      </c>
      <c r="I273" s="19"/>
    </row>
    <row r="274" spans="1:9" x14ac:dyDescent="0.2">
      <c r="A274" s="47" t="s">
        <v>368</v>
      </c>
      <c r="B274" s="55" t="s">
        <v>65</v>
      </c>
      <c r="C274" s="55" t="s">
        <v>725</v>
      </c>
      <c r="D274" s="178" t="s">
        <v>918</v>
      </c>
      <c r="E274" s="179"/>
      <c r="F274" s="55" t="s">
        <v>1001</v>
      </c>
      <c r="G274" s="64">
        <v>2</v>
      </c>
      <c r="H274" s="102">
        <v>0</v>
      </c>
      <c r="I274" s="19"/>
    </row>
    <row r="275" spans="1:9" x14ac:dyDescent="0.2">
      <c r="A275" s="49" t="s">
        <v>369</v>
      </c>
      <c r="B275" s="57" t="s">
        <v>65</v>
      </c>
      <c r="C275" s="57" t="s">
        <v>726</v>
      </c>
      <c r="D275" s="186" t="s">
        <v>920</v>
      </c>
      <c r="E275" s="187"/>
      <c r="F275" s="57" t="s">
        <v>1001</v>
      </c>
      <c r="G275" s="65">
        <v>2</v>
      </c>
      <c r="H275" s="103">
        <v>0</v>
      </c>
      <c r="I275" s="19"/>
    </row>
    <row r="276" spans="1:9" x14ac:dyDescent="0.2">
      <c r="A276" s="47" t="s">
        <v>370</v>
      </c>
      <c r="B276" s="55" t="s">
        <v>65</v>
      </c>
      <c r="C276" s="55" t="s">
        <v>727</v>
      </c>
      <c r="D276" s="178" t="s">
        <v>921</v>
      </c>
      <c r="E276" s="179"/>
      <c r="F276" s="55" t="s">
        <v>1001</v>
      </c>
      <c r="G276" s="64">
        <v>8</v>
      </c>
      <c r="H276" s="102">
        <v>0</v>
      </c>
      <c r="I276" s="19"/>
    </row>
    <row r="277" spans="1:9" x14ac:dyDescent="0.2">
      <c r="A277" s="49" t="s">
        <v>371</v>
      </c>
      <c r="B277" s="57" t="s">
        <v>65</v>
      </c>
      <c r="C277" s="57" t="s">
        <v>728</v>
      </c>
      <c r="D277" s="186" t="s">
        <v>922</v>
      </c>
      <c r="E277" s="187"/>
      <c r="F277" s="57" t="s">
        <v>1001</v>
      </c>
      <c r="G277" s="65">
        <v>8</v>
      </c>
      <c r="H277" s="103">
        <v>0</v>
      </c>
      <c r="I277" s="19"/>
    </row>
    <row r="278" spans="1:9" x14ac:dyDescent="0.2">
      <c r="A278" s="47" t="s">
        <v>372</v>
      </c>
      <c r="B278" s="55" t="s">
        <v>65</v>
      </c>
      <c r="C278" s="55" t="s">
        <v>592</v>
      </c>
      <c r="D278" s="178" t="s">
        <v>923</v>
      </c>
      <c r="E278" s="179"/>
      <c r="F278" s="55" t="s">
        <v>1003</v>
      </c>
      <c r="G278" s="64">
        <v>2</v>
      </c>
      <c r="H278" s="102">
        <v>0</v>
      </c>
      <c r="I278" s="19"/>
    </row>
    <row r="279" spans="1:9" x14ac:dyDescent="0.2">
      <c r="A279" s="49" t="s">
        <v>373</v>
      </c>
      <c r="B279" s="57" t="s">
        <v>65</v>
      </c>
      <c r="C279" s="57" t="s">
        <v>729</v>
      </c>
      <c r="D279" s="186" t="s">
        <v>925</v>
      </c>
      <c r="E279" s="187"/>
      <c r="F279" s="57" t="s">
        <v>1003</v>
      </c>
      <c r="G279" s="65">
        <v>2</v>
      </c>
      <c r="H279" s="103">
        <v>0</v>
      </c>
      <c r="I279" s="19"/>
    </row>
    <row r="280" spans="1:9" x14ac:dyDescent="0.2">
      <c r="A280" s="47" t="s">
        <v>374</v>
      </c>
      <c r="B280" s="55" t="s">
        <v>65</v>
      </c>
      <c r="C280" s="55" t="s">
        <v>594</v>
      </c>
      <c r="D280" s="178" t="s">
        <v>926</v>
      </c>
      <c r="E280" s="179"/>
      <c r="F280" s="55" t="s">
        <v>1003</v>
      </c>
      <c r="G280" s="64">
        <v>4</v>
      </c>
      <c r="H280" s="102">
        <v>0</v>
      </c>
      <c r="I280" s="19"/>
    </row>
    <row r="281" spans="1:9" x14ac:dyDescent="0.2">
      <c r="A281" s="49" t="s">
        <v>375</v>
      </c>
      <c r="B281" s="57" t="s">
        <v>65</v>
      </c>
      <c r="C281" s="57" t="s">
        <v>730</v>
      </c>
      <c r="D281" s="186" t="s">
        <v>928</v>
      </c>
      <c r="E281" s="187"/>
      <c r="F281" s="57" t="s">
        <v>1003</v>
      </c>
      <c r="G281" s="65">
        <v>4</v>
      </c>
      <c r="H281" s="103">
        <v>0</v>
      </c>
      <c r="I281" s="19"/>
    </row>
    <row r="282" spans="1:9" x14ac:dyDescent="0.2">
      <c r="A282" s="47" t="s">
        <v>376</v>
      </c>
      <c r="B282" s="55" t="s">
        <v>65</v>
      </c>
      <c r="C282" s="55" t="s">
        <v>596</v>
      </c>
      <c r="D282" s="178" t="s">
        <v>929</v>
      </c>
      <c r="E282" s="179"/>
      <c r="F282" s="55" t="s">
        <v>1001</v>
      </c>
      <c r="G282" s="64">
        <v>26</v>
      </c>
      <c r="H282" s="102">
        <v>0</v>
      </c>
      <c r="I282" s="19"/>
    </row>
    <row r="283" spans="1:9" ht="12.2" customHeight="1" x14ac:dyDescent="0.2">
      <c r="A283" s="19"/>
      <c r="D283" s="194" t="s">
        <v>1093</v>
      </c>
      <c r="E283" s="195"/>
      <c r="F283" s="195"/>
      <c r="G283" s="98">
        <v>21</v>
      </c>
      <c r="H283" s="16"/>
      <c r="I283" s="19"/>
    </row>
    <row r="284" spans="1:9" ht="12.2" customHeight="1" x14ac:dyDescent="0.2">
      <c r="A284" s="47"/>
      <c r="B284" s="55"/>
      <c r="C284" s="55"/>
      <c r="D284" s="194" t="s">
        <v>1094</v>
      </c>
      <c r="E284" s="195"/>
      <c r="F284" s="194"/>
      <c r="G284" s="98">
        <v>5</v>
      </c>
      <c r="H284" s="79"/>
      <c r="I284" s="19"/>
    </row>
    <row r="285" spans="1:9" ht="12.2" customHeight="1" x14ac:dyDescent="0.2">
      <c r="A285" s="47"/>
      <c r="B285" s="55"/>
      <c r="C285" s="55"/>
      <c r="D285" s="194" t="s">
        <v>1095</v>
      </c>
      <c r="E285" s="195"/>
      <c r="F285" s="194"/>
      <c r="G285" s="98">
        <v>0</v>
      </c>
      <c r="H285" s="79"/>
      <c r="I285" s="19"/>
    </row>
    <row r="286" spans="1:9" x14ac:dyDescent="0.2">
      <c r="A286" s="49" t="s">
        <v>377</v>
      </c>
      <c r="B286" s="57" t="s">
        <v>65</v>
      </c>
      <c r="C286" s="57" t="s">
        <v>731</v>
      </c>
      <c r="D286" s="186" t="s">
        <v>930</v>
      </c>
      <c r="E286" s="187"/>
      <c r="F286" s="57" t="s">
        <v>1001</v>
      </c>
      <c r="G286" s="65">
        <v>5</v>
      </c>
      <c r="H286" s="103">
        <v>0</v>
      </c>
      <c r="I286" s="19"/>
    </row>
    <row r="287" spans="1:9" x14ac:dyDescent="0.2">
      <c r="A287" s="49" t="s">
        <v>378</v>
      </c>
      <c r="B287" s="57" t="s">
        <v>65</v>
      </c>
      <c r="C287" s="57" t="s">
        <v>732</v>
      </c>
      <c r="D287" s="186" t="s">
        <v>931</v>
      </c>
      <c r="E287" s="187"/>
      <c r="F287" s="57" t="s">
        <v>1001</v>
      </c>
      <c r="G287" s="65">
        <v>3</v>
      </c>
      <c r="H287" s="103">
        <v>0</v>
      </c>
      <c r="I287" s="19"/>
    </row>
    <row r="288" spans="1:9" x14ac:dyDescent="0.2">
      <c r="A288" s="49" t="s">
        <v>379</v>
      </c>
      <c r="B288" s="57" t="s">
        <v>65</v>
      </c>
      <c r="C288" s="57" t="s">
        <v>733</v>
      </c>
      <c r="D288" s="186" t="s">
        <v>933</v>
      </c>
      <c r="E288" s="187"/>
      <c r="F288" s="57" t="s">
        <v>1001</v>
      </c>
      <c r="G288" s="65">
        <v>3</v>
      </c>
      <c r="H288" s="103">
        <v>0</v>
      </c>
      <c r="I288" s="19"/>
    </row>
    <row r="289" spans="1:9" x14ac:dyDescent="0.2">
      <c r="A289" s="49" t="s">
        <v>380</v>
      </c>
      <c r="B289" s="57" t="s">
        <v>65</v>
      </c>
      <c r="C289" s="57" t="s">
        <v>734</v>
      </c>
      <c r="D289" s="186" t="s">
        <v>934</v>
      </c>
      <c r="E289" s="187"/>
      <c r="F289" s="57" t="s">
        <v>1001</v>
      </c>
      <c r="G289" s="65">
        <v>7</v>
      </c>
      <c r="H289" s="103">
        <v>0</v>
      </c>
      <c r="I289" s="19"/>
    </row>
    <row r="290" spans="1:9" x14ac:dyDescent="0.2">
      <c r="A290" s="49" t="s">
        <v>381</v>
      </c>
      <c r="B290" s="57" t="s">
        <v>65</v>
      </c>
      <c r="C290" s="57" t="s">
        <v>735</v>
      </c>
      <c r="D290" s="186" t="s">
        <v>935</v>
      </c>
      <c r="E290" s="187"/>
      <c r="F290" s="57" t="s">
        <v>1001</v>
      </c>
      <c r="G290" s="65">
        <v>3</v>
      </c>
      <c r="H290" s="103">
        <v>0</v>
      </c>
      <c r="I290" s="19"/>
    </row>
    <row r="291" spans="1:9" x14ac:dyDescent="0.2">
      <c r="A291" s="49" t="s">
        <v>382</v>
      </c>
      <c r="B291" s="57" t="s">
        <v>65</v>
      </c>
      <c r="C291" s="57" t="s">
        <v>736</v>
      </c>
      <c r="D291" s="186" t="s">
        <v>936</v>
      </c>
      <c r="E291" s="187"/>
      <c r="F291" s="57" t="s">
        <v>1001</v>
      </c>
      <c r="G291" s="65">
        <v>2</v>
      </c>
      <c r="H291" s="103">
        <v>0</v>
      </c>
      <c r="I291" s="19"/>
    </row>
    <row r="292" spans="1:9" x14ac:dyDescent="0.2">
      <c r="A292" s="49" t="s">
        <v>383</v>
      </c>
      <c r="B292" s="57" t="s">
        <v>65</v>
      </c>
      <c r="C292" s="57" t="s">
        <v>737</v>
      </c>
      <c r="D292" s="186" t="s">
        <v>937</v>
      </c>
      <c r="E292" s="187"/>
      <c r="F292" s="57" t="s">
        <v>1001</v>
      </c>
      <c r="G292" s="65">
        <v>3</v>
      </c>
      <c r="H292" s="103">
        <v>0</v>
      </c>
      <c r="I292" s="19"/>
    </row>
    <row r="293" spans="1:9" x14ac:dyDescent="0.2">
      <c r="A293" s="47" t="s">
        <v>384</v>
      </c>
      <c r="B293" s="55" t="s">
        <v>65</v>
      </c>
      <c r="C293" s="55" t="s">
        <v>604</v>
      </c>
      <c r="D293" s="178" t="s">
        <v>938</v>
      </c>
      <c r="E293" s="179"/>
      <c r="F293" s="55" t="s">
        <v>1003</v>
      </c>
      <c r="G293" s="64">
        <v>4</v>
      </c>
      <c r="H293" s="102">
        <v>0</v>
      </c>
      <c r="I293" s="19"/>
    </row>
    <row r="294" spans="1:9" x14ac:dyDescent="0.2">
      <c r="A294" s="49" t="s">
        <v>385</v>
      </c>
      <c r="B294" s="57" t="s">
        <v>65</v>
      </c>
      <c r="C294" s="57" t="s">
        <v>738</v>
      </c>
      <c r="D294" s="186" t="s">
        <v>939</v>
      </c>
      <c r="E294" s="187"/>
      <c r="F294" s="57" t="s">
        <v>1004</v>
      </c>
      <c r="G294" s="65">
        <v>4</v>
      </c>
      <c r="H294" s="103">
        <v>0</v>
      </c>
      <c r="I294" s="19"/>
    </row>
    <row r="295" spans="1:9" x14ac:dyDescent="0.2">
      <c r="A295" s="47" t="s">
        <v>386</v>
      </c>
      <c r="B295" s="55" t="s">
        <v>65</v>
      </c>
      <c r="C295" s="55" t="s">
        <v>606</v>
      </c>
      <c r="D295" s="178" t="s">
        <v>940</v>
      </c>
      <c r="E295" s="179"/>
      <c r="F295" s="55" t="s">
        <v>1003</v>
      </c>
      <c r="G295" s="64">
        <v>12</v>
      </c>
      <c r="H295" s="102">
        <v>0</v>
      </c>
      <c r="I295" s="19"/>
    </row>
    <row r="296" spans="1:9" ht="12.2" customHeight="1" x14ac:dyDescent="0.2">
      <c r="A296" s="19"/>
      <c r="D296" s="194" t="s">
        <v>1096</v>
      </c>
      <c r="E296" s="195"/>
      <c r="F296" s="195"/>
      <c r="G296" s="98">
        <v>10</v>
      </c>
      <c r="H296" s="16"/>
      <c r="I296" s="19"/>
    </row>
    <row r="297" spans="1:9" ht="12.2" customHeight="1" x14ac:dyDescent="0.2">
      <c r="A297" s="47"/>
      <c r="B297" s="55"/>
      <c r="C297" s="55"/>
      <c r="D297" s="194" t="s">
        <v>1097</v>
      </c>
      <c r="E297" s="195"/>
      <c r="F297" s="194"/>
      <c r="G297" s="98">
        <v>2</v>
      </c>
      <c r="H297" s="79"/>
      <c r="I297" s="19"/>
    </row>
    <row r="298" spans="1:9" ht="12.2" customHeight="1" x14ac:dyDescent="0.2">
      <c r="A298" s="47"/>
      <c r="B298" s="55"/>
      <c r="C298" s="55"/>
      <c r="D298" s="194" t="s">
        <v>1095</v>
      </c>
      <c r="E298" s="195"/>
      <c r="F298" s="194"/>
      <c r="G298" s="98">
        <v>0</v>
      </c>
      <c r="H298" s="79"/>
      <c r="I298" s="19"/>
    </row>
    <row r="299" spans="1:9" x14ac:dyDescent="0.2">
      <c r="A299" s="49" t="s">
        <v>387</v>
      </c>
      <c r="B299" s="57" t="s">
        <v>65</v>
      </c>
      <c r="C299" s="57" t="s">
        <v>739</v>
      </c>
      <c r="D299" s="186" t="s">
        <v>941</v>
      </c>
      <c r="E299" s="187"/>
      <c r="F299" s="57" t="s">
        <v>1004</v>
      </c>
      <c r="G299" s="65">
        <v>2</v>
      </c>
      <c r="H299" s="103">
        <v>0</v>
      </c>
      <c r="I299" s="19"/>
    </row>
    <row r="300" spans="1:9" x14ac:dyDescent="0.2">
      <c r="A300" s="49" t="s">
        <v>388</v>
      </c>
      <c r="B300" s="57" t="s">
        <v>65</v>
      </c>
      <c r="C300" s="57" t="s">
        <v>740</v>
      </c>
      <c r="D300" s="186" t="s">
        <v>943</v>
      </c>
      <c r="E300" s="187"/>
      <c r="F300" s="57" t="s">
        <v>1004</v>
      </c>
      <c r="G300" s="65">
        <v>2</v>
      </c>
      <c r="H300" s="103">
        <v>0</v>
      </c>
      <c r="I300" s="19"/>
    </row>
    <row r="301" spans="1:9" x14ac:dyDescent="0.2">
      <c r="A301" s="49" t="s">
        <v>389</v>
      </c>
      <c r="B301" s="57" t="s">
        <v>65</v>
      </c>
      <c r="C301" s="57" t="s">
        <v>741</v>
      </c>
      <c r="D301" s="186" t="s">
        <v>944</v>
      </c>
      <c r="E301" s="187"/>
      <c r="F301" s="57" t="s">
        <v>1004</v>
      </c>
      <c r="G301" s="65">
        <v>2</v>
      </c>
      <c r="H301" s="103">
        <v>0</v>
      </c>
      <c r="I301" s="19"/>
    </row>
    <row r="302" spans="1:9" x14ac:dyDescent="0.2">
      <c r="A302" s="49" t="s">
        <v>390</v>
      </c>
      <c r="B302" s="57" t="s">
        <v>65</v>
      </c>
      <c r="C302" s="57" t="s">
        <v>742</v>
      </c>
      <c r="D302" s="186" t="s">
        <v>945</v>
      </c>
      <c r="E302" s="187"/>
      <c r="F302" s="57" t="s">
        <v>1004</v>
      </c>
      <c r="G302" s="65">
        <v>2</v>
      </c>
      <c r="H302" s="103">
        <v>0</v>
      </c>
      <c r="I302" s="19"/>
    </row>
    <row r="303" spans="1:9" x14ac:dyDescent="0.2">
      <c r="A303" s="49" t="s">
        <v>391</v>
      </c>
      <c r="B303" s="57" t="s">
        <v>65</v>
      </c>
      <c r="C303" s="57" t="s">
        <v>743</v>
      </c>
      <c r="D303" s="186" t="s">
        <v>946</v>
      </c>
      <c r="E303" s="187"/>
      <c r="F303" s="57" t="s">
        <v>1004</v>
      </c>
      <c r="G303" s="65">
        <v>2</v>
      </c>
      <c r="H303" s="103">
        <v>0</v>
      </c>
      <c r="I303" s="19"/>
    </row>
    <row r="304" spans="1:9" x14ac:dyDescent="0.2">
      <c r="A304" s="49" t="s">
        <v>392</v>
      </c>
      <c r="B304" s="57" t="s">
        <v>65</v>
      </c>
      <c r="C304" s="57" t="s">
        <v>682</v>
      </c>
      <c r="D304" s="186" t="s">
        <v>942</v>
      </c>
      <c r="E304" s="187"/>
      <c r="F304" s="57" t="s">
        <v>1004</v>
      </c>
      <c r="G304" s="65">
        <v>1</v>
      </c>
      <c r="H304" s="103">
        <v>0</v>
      </c>
      <c r="I304" s="19"/>
    </row>
    <row r="305" spans="1:9" x14ac:dyDescent="0.2">
      <c r="A305" s="49" t="s">
        <v>393</v>
      </c>
      <c r="B305" s="57" t="s">
        <v>65</v>
      </c>
      <c r="C305" s="57" t="s">
        <v>683</v>
      </c>
      <c r="D305" s="186" t="s">
        <v>947</v>
      </c>
      <c r="E305" s="187"/>
      <c r="F305" s="57" t="s">
        <v>1004</v>
      </c>
      <c r="G305" s="65">
        <v>1</v>
      </c>
      <c r="H305" s="103">
        <v>0</v>
      </c>
      <c r="I305" s="19"/>
    </row>
    <row r="306" spans="1:9" ht="12.2" customHeight="1" x14ac:dyDescent="0.2">
      <c r="A306" s="47" t="s">
        <v>394</v>
      </c>
      <c r="B306" s="55" t="s">
        <v>65</v>
      </c>
      <c r="C306" s="55" t="s">
        <v>614</v>
      </c>
      <c r="D306" s="194" t="s">
        <v>1098</v>
      </c>
      <c r="E306" s="195"/>
      <c r="F306" s="194"/>
      <c r="G306" s="98">
        <v>3</v>
      </c>
      <c r="H306" s="102">
        <v>0</v>
      </c>
      <c r="I306" s="19"/>
    </row>
    <row r="307" spans="1:9" ht="12.2" customHeight="1" x14ac:dyDescent="0.2">
      <c r="A307" s="49" t="s">
        <v>395</v>
      </c>
      <c r="B307" s="57" t="s">
        <v>65</v>
      </c>
      <c r="C307" s="57" t="s">
        <v>744</v>
      </c>
      <c r="D307" s="196" t="s">
        <v>1098</v>
      </c>
      <c r="E307" s="197"/>
      <c r="F307" s="196"/>
      <c r="G307" s="99">
        <v>3</v>
      </c>
      <c r="H307" s="103">
        <v>0</v>
      </c>
      <c r="I307" s="19"/>
    </row>
    <row r="308" spans="1:9" ht="12.2" customHeight="1" x14ac:dyDescent="0.2">
      <c r="A308" s="47" t="s">
        <v>396</v>
      </c>
      <c r="B308" s="55" t="s">
        <v>65</v>
      </c>
      <c r="C308" s="55" t="s">
        <v>616</v>
      </c>
      <c r="D308" s="194" t="s">
        <v>1099</v>
      </c>
      <c r="E308" s="195"/>
      <c r="F308" s="194"/>
      <c r="G308" s="98">
        <v>4</v>
      </c>
      <c r="H308" s="102">
        <v>0</v>
      </c>
      <c r="I308" s="19"/>
    </row>
    <row r="309" spans="1:9" x14ac:dyDescent="0.2">
      <c r="A309" s="49" t="s">
        <v>397</v>
      </c>
      <c r="B309" s="57" t="s">
        <v>65</v>
      </c>
      <c r="C309" s="57" t="s">
        <v>745</v>
      </c>
      <c r="D309" s="186" t="s">
        <v>951</v>
      </c>
      <c r="E309" s="187"/>
      <c r="F309" s="57" t="s">
        <v>1004</v>
      </c>
      <c r="G309" s="65">
        <v>2</v>
      </c>
      <c r="H309" s="103">
        <v>0</v>
      </c>
      <c r="I309" s="19"/>
    </row>
    <row r="310" spans="1:9" x14ac:dyDescent="0.2">
      <c r="A310" s="49" t="s">
        <v>398</v>
      </c>
      <c r="B310" s="57" t="s">
        <v>65</v>
      </c>
      <c r="C310" s="57" t="s">
        <v>746</v>
      </c>
      <c r="D310" s="186" t="s">
        <v>952</v>
      </c>
      <c r="E310" s="187"/>
      <c r="F310" s="57" t="s">
        <v>1004</v>
      </c>
      <c r="G310" s="65">
        <v>2</v>
      </c>
      <c r="H310" s="103">
        <v>0</v>
      </c>
      <c r="I310" s="19"/>
    </row>
    <row r="311" spans="1:9" x14ac:dyDescent="0.2">
      <c r="A311" s="49" t="s">
        <v>399</v>
      </c>
      <c r="B311" s="57" t="s">
        <v>65</v>
      </c>
      <c r="C311" s="57" t="s">
        <v>747</v>
      </c>
      <c r="D311" s="186" t="s">
        <v>953</v>
      </c>
      <c r="E311" s="187"/>
      <c r="F311" s="57" t="s">
        <v>1007</v>
      </c>
      <c r="G311" s="65">
        <v>10</v>
      </c>
      <c r="H311" s="103">
        <v>0</v>
      </c>
      <c r="I311" s="19"/>
    </row>
    <row r="312" spans="1:9" ht="12.2" customHeight="1" x14ac:dyDescent="0.2">
      <c r="A312" s="47" t="s">
        <v>400</v>
      </c>
      <c r="B312" s="55" t="s">
        <v>65</v>
      </c>
      <c r="C312" s="55" t="s">
        <v>620</v>
      </c>
      <c r="D312" s="194" t="s">
        <v>1100</v>
      </c>
      <c r="E312" s="195"/>
      <c r="F312" s="194"/>
      <c r="G312" s="98">
        <v>14</v>
      </c>
      <c r="H312" s="102">
        <v>0</v>
      </c>
      <c r="I312" s="19"/>
    </row>
    <row r="313" spans="1:9" ht="12.2" customHeight="1" x14ac:dyDescent="0.2">
      <c r="A313" s="49" t="s">
        <v>401</v>
      </c>
      <c r="B313" s="57" t="s">
        <v>65</v>
      </c>
      <c r="C313" s="57" t="s">
        <v>748</v>
      </c>
      <c r="D313" s="196" t="s">
        <v>1100</v>
      </c>
      <c r="E313" s="197"/>
      <c r="F313" s="196"/>
      <c r="G313" s="99">
        <v>14</v>
      </c>
      <c r="H313" s="103">
        <v>0</v>
      </c>
      <c r="I313" s="19"/>
    </row>
    <row r="314" spans="1:9" ht="12.2" customHeight="1" x14ac:dyDescent="0.2">
      <c r="A314" s="47" t="s">
        <v>402</v>
      </c>
      <c r="B314" s="55" t="s">
        <v>65</v>
      </c>
      <c r="C314" s="55" t="s">
        <v>622</v>
      </c>
      <c r="D314" s="194" t="s">
        <v>1100</v>
      </c>
      <c r="E314" s="195"/>
      <c r="F314" s="194"/>
      <c r="G314" s="98">
        <v>14</v>
      </c>
      <c r="H314" s="102">
        <v>0</v>
      </c>
      <c r="I314" s="19"/>
    </row>
    <row r="315" spans="1:9" ht="12.2" customHeight="1" x14ac:dyDescent="0.2">
      <c r="A315" s="49" t="s">
        <v>403</v>
      </c>
      <c r="B315" s="57" t="s">
        <v>65</v>
      </c>
      <c r="C315" s="57" t="s">
        <v>749</v>
      </c>
      <c r="D315" s="196" t="s">
        <v>1100</v>
      </c>
      <c r="E315" s="197"/>
      <c r="F315" s="196"/>
      <c r="G315" s="99">
        <v>14</v>
      </c>
      <c r="H315" s="103">
        <v>0</v>
      </c>
      <c r="I315" s="19"/>
    </row>
    <row r="316" spans="1:9" x14ac:dyDescent="0.2">
      <c r="A316" s="47" t="s">
        <v>404</v>
      </c>
      <c r="B316" s="55" t="s">
        <v>65</v>
      </c>
      <c r="C316" s="55" t="s">
        <v>624</v>
      </c>
      <c r="D316" s="178" t="s">
        <v>958</v>
      </c>
      <c r="E316" s="179"/>
      <c r="F316" s="55" t="s">
        <v>1000</v>
      </c>
      <c r="G316" s="64">
        <v>3584.0039999999999</v>
      </c>
      <c r="H316" s="102">
        <v>0</v>
      </c>
      <c r="I316" s="19"/>
    </row>
    <row r="317" spans="1:9" x14ac:dyDescent="0.2">
      <c r="A317" s="47" t="s">
        <v>405</v>
      </c>
      <c r="B317" s="55" t="s">
        <v>66</v>
      </c>
      <c r="C317" s="55" t="s">
        <v>772</v>
      </c>
      <c r="D317" s="178" t="s">
        <v>900</v>
      </c>
      <c r="E317" s="179"/>
      <c r="F317" s="55" t="s">
        <v>1002</v>
      </c>
      <c r="G317" s="64">
        <v>1</v>
      </c>
      <c r="H317" s="102">
        <v>0</v>
      </c>
      <c r="I317" s="19"/>
    </row>
    <row r="318" spans="1:9" x14ac:dyDescent="0.2">
      <c r="A318" s="49" t="s">
        <v>406</v>
      </c>
      <c r="B318" s="57" t="s">
        <v>66</v>
      </c>
      <c r="C318" s="57" t="s">
        <v>574</v>
      </c>
      <c r="D318" s="186" t="s">
        <v>902</v>
      </c>
      <c r="E318" s="187"/>
      <c r="F318" s="57" t="s">
        <v>1006</v>
      </c>
      <c r="G318" s="65">
        <v>1</v>
      </c>
      <c r="H318" s="103">
        <v>0</v>
      </c>
      <c r="I318" s="19"/>
    </row>
    <row r="319" spans="1:9" x14ac:dyDescent="0.2">
      <c r="A319" s="47" t="s">
        <v>407</v>
      </c>
      <c r="B319" s="55" t="s">
        <v>66</v>
      </c>
      <c r="C319" s="55" t="s">
        <v>575</v>
      </c>
      <c r="D319" s="178" t="s">
        <v>903</v>
      </c>
      <c r="E319" s="179"/>
      <c r="F319" s="55" t="s">
        <v>1002</v>
      </c>
      <c r="G319" s="64">
        <v>1</v>
      </c>
      <c r="H319" s="102">
        <v>0</v>
      </c>
      <c r="I319" s="19"/>
    </row>
    <row r="320" spans="1:9" x14ac:dyDescent="0.2">
      <c r="A320" s="47" t="s">
        <v>408</v>
      </c>
      <c r="B320" s="55" t="s">
        <v>66</v>
      </c>
      <c r="C320" s="55" t="s">
        <v>576</v>
      </c>
      <c r="D320" s="178" t="s">
        <v>904</v>
      </c>
      <c r="E320" s="179"/>
      <c r="F320" s="55" t="s">
        <v>1003</v>
      </c>
      <c r="G320" s="64">
        <v>2</v>
      </c>
      <c r="H320" s="102">
        <v>0</v>
      </c>
      <c r="I320" s="19"/>
    </row>
    <row r="321" spans="1:9" x14ac:dyDescent="0.2">
      <c r="A321" s="49" t="s">
        <v>409</v>
      </c>
      <c r="B321" s="57" t="s">
        <v>66</v>
      </c>
      <c r="C321" s="57" t="s">
        <v>773</v>
      </c>
      <c r="D321" s="186" t="s">
        <v>905</v>
      </c>
      <c r="E321" s="187"/>
      <c r="F321" s="57" t="s">
        <v>1004</v>
      </c>
      <c r="G321" s="65">
        <v>2</v>
      </c>
      <c r="H321" s="103">
        <v>0</v>
      </c>
      <c r="I321" s="19"/>
    </row>
    <row r="322" spans="1:9" x14ac:dyDescent="0.2">
      <c r="A322" s="49" t="s">
        <v>410</v>
      </c>
      <c r="B322" s="57" t="s">
        <v>66</v>
      </c>
      <c r="C322" s="57" t="s">
        <v>774</v>
      </c>
      <c r="D322" s="186" t="s">
        <v>906</v>
      </c>
      <c r="E322" s="187"/>
      <c r="F322" s="57" t="s">
        <v>1004</v>
      </c>
      <c r="G322" s="65">
        <v>1</v>
      </c>
      <c r="H322" s="103">
        <v>0</v>
      </c>
      <c r="I322" s="19"/>
    </row>
    <row r="323" spans="1:9" x14ac:dyDescent="0.2">
      <c r="A323" s="49" t="s">
        <v>411</v>
      </c>
      <c r="B323" s="57" t="s">
        <v>66</v>
      </c>
      <c r="C323" s="57" t="s">
        <v>775</v>
      </c>
      <c r="D323" s="186" t="s">
        <v>908</v>
      </c>
      <c r="E323" s="187"/>
      <c r="F323" s="57" t="s">
        <v>1007</v>
      </c>
      <c r="G323" s="65">
        <v>5</v>
      </c>
      <c r="H323" s="103">
        <v>0</v>
      </c>
      <c r="I323" s="19"/>
    </row>
    <row r="324" spans="1:9" x14ac:dyDescent="0.2">
      <c r="A324" s="47" t="s">
        <v>412</v>
      </c>
      <c r="B324" s="55" t="s">
        <v>66</v>
      </c>
      <c r="C324" s="55" t="s">
        <v>776</v>
      </c>
      <c r="D324" s="178" t="s">
        <v>909</v>
      </c>
      <c r="E324" s="179"/>
      <c r="F324" s="55" t="s">
        <v>1002</v>
      </c>
      <c r="G324" s="64">
        <v>1</v>
      </c>
      <c r="H324" s="102">
        <v>0</v>
      </c>
      <c r="I324" s="19"/>
    </row>
    <row r="325" spans="1:9" x14ac:dyDescent="0.2">
      <c r="A325" s="49" t="s">
        <v>413</v>
      </c>
      <c r="B325" s="57" t="s">
        <v>66</v>
      </c>
      <c r="C325" s="57" t="s">
        <v>777</v>
      </c>
      <c r="D325" s="186" t="s">
        <v>910</v>
      </c>
      <c r="E325" s="187"/>
      <c r="F325" s="57" t="s">
        <v>1004</v>
      </c>
      <c r="G325" s="65">
        <v>2</v>
      </c>
      <c r="H325" s="103">
        <v>0</v>
      </c>
      <c r="I325" s="19"/>
    </row>
    <row r="326" spans="1:9" x14ac:dyDescent="0.2">
      <c r="A326" s="47" t="s">
        <v>414</v>
      </c>
      <c r="B326" s="55" t="s">
        <v>66</v>
      </c>
      <c r="C326" s="55" t="s">
        <v>582</v>
      </c>
      <c r="D326" s="178" t="s">
        <v>911</v>
      </c>
      <c r="E326" s="179"/>
      <c r="F326" s="55" t="s">
        <v>1003</v>
      </c>
      <c r="G326" s="64">
        <v>2</v>
      </c>
      <c r="H326" s="102">
        <v>0</v>
      </c>
      <c r="I326" s="19"/>
    </row>
    <row r="327" spans="1:9" ht="12.2" customHeight="1" x14ac:dyDescent="0.2">
      <c r="A327" s="47" t="s">
        <v>415</v>
      </c>
      <c r="B327" s="55" t="s">
        <v>66</v>
      </c>
      <c r="C327" s="55" t="s">
        <v>778</v>
      </c>
      <c r="D327" s="194" t="s">
        <v>1092</v>
      </c>
      <c r="E327" s="195"/>
      <c r="F327" s="194"/>
      <c r="G327" s="98">
        <v>8</v>
      </c>
      <c r="H327" s="102">
        <v>0</v>
      </c>
      <c r="I327" s="19"/>
    </row>
    <row r="328" spans="1:9" ht="12.2" customHeight="1" x14ac:dyDescent="0.2">
      <c r="A328" s="49" t="s">
        <v>416</v>
      </c>
      <c r="B328" s="57" t="s">
        <v>66</v>
      </c>
      <c r="C328" s="57" t="s">
        <v>779</v>
      </c>
      <c r="D328" s="196" t="s">
        <v>1092</v>
      </c>
      <c r="E328" s="197"/>
      <c r="F328" s="196"/>
      <c r="G328" s="99">
        <v>8</v>
      </c>
      <c r="H328" s="103">
        <v>0</v>
      </c>
      <c r="I328" s="19"/>
    </row>
    <row r="329" spans="1:9" x14ac:dyDescent="0.2">
      <c r="A329" s="47" t="s">
        <v>417</v>
      </c>
      <c r="B329" s="55" t="s">
        <v>66</v>
      </c>
      <c r="C329" s="55" t="s">
        <v>780</v>
      </c>
      <c r="D329" s="178" t="s">
        <v>914</v>
      </c>
      <c r="E329" s="179"/>
      <c r="F329" s="55" t="s">
        <v>1001</v>
      </c>
      <c r="G329" s="64">
        <v>6</v>
      </c>
      <c r="H329" s="102">
        <v>0</v>
      </c>
      <c r="I329" s="19"/>
    </row>
    <row r="330" spans="1:9" x14ac:dyDescent="0.2">
      <c r="A330" s="49" t="s">
        <v>418</v>
      </c>
      <c r="B330" s="57" t="s">
        <v>66</v>
      </c>
      <c r="C330" s="57" t="s">
        <v>781</v>
      </c>
      <c r="D330" s="186" t="s">
        <v>916</v>
      </c>
      <c r="E330" s="187"/>
      <c r="F330" s="57" t="s">
        <v>1001</v>
      </c>
      <c r="G330" s="65">
        <v>6</v>
      </c>
      <c r="H330" s="103">
        <v>0</v>
      </c>
      <c r="I330" s="19"/>
    </row>
    <row r="331" spans="1:9" x14ac:dyDescent="0.2">
      <c r="A331" s="49" t="s">
        <v>419</v>
      </c>
      <c r="B331" s="57" t="s">
        <v>66</v>
      </c>
      <c r="C331" s="57" t="s">
        <v>782</v>
      </c>
      <c r="D331" s="186" t="s">
        <v>917</v>
      </c>
      <c r="E331" s="187"/>
      <c r="F331" s="57" t="s">
        <v>1007</v>
      </c>
      <c r="G331" s="65">
        <v>1</v>
      </c>
      <c r="H331" s="103">
        <v>0</v>
      </c>
      <c r="I331" s="19"/>
    </row>
    <row r="332" spans="1:9" x14ac:dyDescent="0.2">
      <c r="A332" s="47" t="s">
        <v>420</v>
      </c>
      <c r="B332" s="55" t="s">
        <v>66</v>
      </c>
      <c r="C332" s="55" t="s">
        <v>783</v>
      </c>
      <c r="D332" s="178" t="s">
        <v>918</v>
      </c>
      <c r="E332" s="179"/>
      <c r="F332" s="55" t="s">
        <v>1001</v>
      </c>
      <c r="G332" s="64">
        <v>2</v>
      </c>
      <c r="H332" s="102">
        <v>0</v>
      </c>
      <c r="I332" s="19"/>
    </row>
    <row r="333" spans="1:9" x14ac:dyDescent="0.2">
      <c r="A333" s="49" t="s">
        <v>421</v>
      </c>
      <c r="B333" s="57" t="s">
        <v>66</v>
      </c>
      <c r="C333" s="57" t="s">
        <v>784</v>
      </c>
      <c r="D333" s="186" t="s">
        <v>920</v>
      </c>
      <c r="E333" s="187"/>
      <c r="F333" s="57" t="s">
        <v>1001</v>
      </c>
      <c r="G333" s="65">
        <v>2</v>
      </c>
      <c r="H333" s="103">
        <v>0</v>
      </c>
      <c r="I333" s="19"/>
    </row>
    <row r="334" spans="1:9" x14ac:dyDescent="0.2">
      <c r="A334" s="47" t="s">
        <v>422</v>
      </c>
      <c r="B334" s="55" t="s">
        <v>66</v>
      </c>
      <c r="C334" s="55" t="s">
        <v>785</v>
      </c>
      <c r="D334" s="178" t="s">
        <v>921</v>
      </c>
      <c r="E334" s="179"/>
      <c r="F334" s="55" t="s">
        <v>1001</v>
      </c>
      <c r="G334" s="64">
        <v>8</v>
      </c>
      <c r="H334" s="102">
        <v>0</v>
      </c>
      <c r="I334" s="19"/>
    </row>
    <row r="335" spans="1:9" x14ac:dyDescent="0.2">
      <c r="A335" s="49" t="s">
        <v>423</v>
      </c>
      <c r="B335" s="57" t="s">
        <v>66</v>
      </c>
      <c r="C335" s="57" t="s">
        <v>786</v>
      </c>
      <c r="D335" s="186" t="s">
        <v>922</v>
      </c>
      <c r="E335" s="187"/>
      <c r="F335" s="57" t="s">
        <v>1001</v>
      </c>
      <c r="G335" s="65">
        <v>8</v>
      </c>
      <c r="H335" s="103">
        <v>0</v>
      </c>
      <c r="I335" s="19"/>
    </row>
    <row r="336" spans="1:9" x14ac:dyDescent="0.2">
      <c r="A336" s="47" t="s">
        <v>424</v>
      </c>
      <c r="B336" s="55" t="s">
        <v>66</v>
      </c>
      <c r="C336" s="55" t="s">
        <v>592</v>
      </c>
      <c r="D336" s="178" t="s">
        <v>923</v>
      </c>
      <c r="E336" s="179"/>
      <c r="F336" s="55" t="s">
        <v>1003</v>
      </c>
      <c r="G336" s="64">
        <v>2</v>
      </c>
      <c r="H336" s="102">
        <v>0</v>
      </c>
      <c r="I336" s="19"/>
    </row>
    <row r="337" spans="1:9" x14ac:dyDescent="0.2">
      <c r="A337" s="49" t="s">
        <v>425</v>
      </c>
      <c r="B337" s="57" t="s">
        <v>66</v>
      </c>
      <c r="C337" s="57" t="s">
        <v>787</v>
      </c>
      <c r="D337" s="186" t="s">
        <v>925</v>
      </c>
      <c r="E337" s="187"/>
      <c r="F337" s="57" t="s">
        <v>1003</v>
      </c>
      <c r="G337" s="65">
        <v>2</v>
      </c>
      <c r="H337" s="103">
        <v>0</v>
      </c>
      <c r="I337" s="19"/>
    </row>
    <row r="338" spans="1:9" x14ac:dyDescent="0.2">
      <c r="A338" s="47" t="s">
        <v>426</v>
      </c>
      <c r="B338" s="55" t="s">
        <v>66</v>
      </c>
      <c r="C338" s="55" t="s">
        <v>594</v>
      </c>
      <c r="D338" s="178" t="s">
        <v>926</v>
      </c>
      <c r="E338" s="179"/>
      <c r="F338" s="55" t="s">
        <v>1003</v>
      </c>
      <c r="G338" s="64">
        <v>4</v>
      </c>
      <c r="H338" s="102">
        <v>0</v>
      </c>
      <c r="I338" s="19"/>
    </row>
    <row r="339" spans="1:9" x14ac:dyDescent="0.2">
      <c r="A339" s="49" t="s">
        <v>427</v>
      </c>
      <c r="B339" s="57" t="s">
        <v>66</v>
      </c>
      <c r="C339" s="57" t="s">
        <v>788</v>
      </c>
      <c r="D339" s="186" t="s">
        <v>928</v>
      </c>
      <c r="E339" s="187"/>
      <c r="F339" s="57" t="s">
        <v>1003</v>
      </c>
      <c r="G339" s="65">
        <v>4</v>
      </c>
      <c r="H339" s="103">
        <v>0</v>
      </c>
      <c r="I339" s="19"/>
    </row>
    <row r="340" spans="1:9" x14ac:dyDescent="0.2">
      <c r="A340" s="47" t="s">
        <v>428</v>
      </c>
      <c r="B340" s="55" t="s">
        <v>66</v>
      </c>
      <c r="C340" s="55" t="s">
        <v>596</v>
      </c>
      <c r="D340" s="178" t="s">
        <v>929</v>
      </c>
      <c r="E340" s="179"/>
      <c r="F340" s="55" t="s">
        <v>1001</v>
      </c>
      <c r="G340" s="64">
        <v>26</v>
      </c>
      <c r="H340" s="102">
        <v>0</v>
      </c>
      <c r="I340" s="19"/>
    </row>
    <row r="341" spans="1:9" ht="12.2" customHeight="1" x14ac:dyDescent="0.2">
      <c r="A341" s="19"/>
      <c r="D341" s="194" t="s">
        <v>1093</v>
      </c>
      <c r="E341" s="195"/>
      <c r="F341" s="195"/>
      <c r="G341" s="98">
        <v>21</v>
      </c>
      <c r="H341" s="16"/>
      <c r="I341" s="19"/>
    </row>
    <row r="342" spans="1:9" ht="12.2" customHeight="1" x14ac:dyDescent="0.2">
      <c r="A342" s="47"/>
      <c r="B342" s="55"/>
      <c r="C342" s="55"/>
      <c r="D342" s="194" t="s">
        <v>1102</v>
      </c>
      <c r="E342" s="195"/>
      <c r="F342" s="194"/>
      <c r="G342" s="98">
        <v>5</v>
      </c>
      <c r="H342" s="79"/>
      <c r="I342" s="19"/>
    </row>
    <row r="343" spans="1:9" ht="12.2" customHeight="1" x14ac:dyDescent="0.2">
      <c r="A343" s="47"/>
      <c r="B343" s="55"/>
      <c r="C343" s="55"/>
      <c r="D343" s="194" t="s">
        <v>1095</v>
      </c>
      <c r="E343" s="195"/>
      <c r="F343" s="194"/>
      <c r="G343" s="98">
        <v>0</v>
      </c>
      <c r="H343" s="79"/>
      <c r="I343" s="19"/>
    </row>
    <row r="344" spans="1:9" x14ac:dyDescent="0.2">
      <c r="A344" s="49" t="s">
        <v>429</v>
      </c>
      <c r="B344" s="57" t="s">
        <v>66</v>
      </c>
      <c r="C344" s="57" t="s">
        <v>789</v>
      </c>
      <c r="D344" s="186" t="s">
        <v>930</v>
      </c>
      <c r="E344" s="187"/>
      <c r="F344" s="57" t="s">
        <v>1001</v>
      </c>
      <c r="G344" s="65">
        <v>5</v>
      </c>
      <c r="H344" s="103">
        <v>0</v>
      </c>
      <c r="I344" s="19"/>
    </row>
    <row r="345" spans="1:9" x14ac:dyDescent="0.2">
      <c r="A345" s="49" t="s">
        <v>430</v>
      </c>
      <c r="B345" s="57" t="s">
        <v>66</v>
      </c>
      <c r="C345" s="57" t="s">
        <v>790</v>
      </c>
      <c r="D345" s="186" t="s">
        <v>931</v>
      </c>
      <c r="E345" s="187"/>
      <c r="F345" s="57" t="s">
        <v>1001</v>
      </c>
      <c r="G345" s="65">
        <v>3</v>
      </c>
      <c r="H345" s="103">
        <v>0</v>
      </c>
      <c r="I345" s="19"/>
    </row>
    <row r="346" spans="1:9" x14ac:dyDescent="0.2">
      <c r="A346" s="49" t="s">
        <v>431</v>
      </c>
      <c r="B346" s="57" t="s">
        <v>66</v>
      </c>
      <c r="C346" s="57" t="s">
        <v>791</v>
      </c>
      <c r="D346" s="186" t="s">
        <v>933</v>
      </c>
      <c r="E346" s="187"/>
      <c r="F346" s="57" t="s">
        <v>1001</v>
      </c>
      <c r="G346" s="65">
        <v>3</v>
      </c>
      <c r="H346" s="103">
        <v>0</v>
      </c>
      <c r="I346" s="19"/>
    </row>
    <row r="347" spans="1:9" x14ac:dyDescent="0.2">
      <c r="A347" s="49" t="s">
        <v>432</v>
      </c>
      <c r="B347" s="57" t="s">
        <v>66</v>
      </c>
      <c r="C347" s="57" t="s">
        <v>792</v>
      </c>
      <c r="D347" s="186" t="s">
        <v>934</v>
      </c>
      <c r="E347" s="187"/>
      <c r="F347" s="57" t="s">
        <v>1001</v>
      </c>
      <c r="G347" s="65">
        <v>7</v>
      </c>
      <c r="H347" s="103">
        <v>0</v>
      </c>
      <c r="I347" s="19"/>
    </row>
    <row r="348" spans="1:9" x14ac:dyDescent="0.2">
      <c r="A348" s="49" t="s">
        <v>433</v>
      </c>
      <c r="B348" s="57" t="s">
        <v>66</v>
      </c>
      <c r="C348" s="57" t="s">
        <v>793</v>
      </c>
      <c r="D348" s="186" t="s">
        <v>935</v>
      </c>
      <c r="E348" s="187"/>
      <c r="F348" s="57" t="s">
        <v>1001</v>
      </c>
      <c r="G348" s="65">
        <v>3</v>
      </c>
      <c r="H348" s="103">
        <v>0</v>
      </c>
      <c r="I348" s="19"/>
    </row>
    <row r="349" spans="1:9" x14ac:dyDescent="0.2">
      <c r="A349" s="49" t="s">
        <v>434</v>
      </c>
      <c r="B349" s="57" t="s">
        <v>66</v>
      </c>
      <c r="C349" s="57" t="s">
        <v>794</v>
      </c>
      <c r="D349" s="186" t="s">
        <v>936</v>
      </c>
      <c r="E349" s="187"/>
      <c r="F349" s="57" t="s">
        <v>1001</v>
      </c>
      <c r="G349" s="65">
        <v>2</v>
      </c>
      <c r="H349" s="103">
        <v>0</v>
      </c>
      <c r="I349" s="19"/>
    </row>
    <row r="350" spans="1:9" x14ac:dyDescent="0.2">
      <c r="A350" s="49" t="s">
        <v>435</v>
      </c>
      <c r="B350" s="57" t="s">
        <v>66</v>
      </c>
      <c r="C350" s="57" t="s">
        <v>795</v>
      </c>
      <c r="D350" s="186" t="s">
        <v>937</v>
      </c>
      <c r="E350" s="187"/>
      <c r="F350" s="57" t="s">
        <v>1001</v>
      </c>
      <c r="G350" s="65">
        <v>3</v>
      </c>
      <c r="H350" s="103">
        <v>0</v>
      </c>
      <c r="I350" s="19"/>
    </row>
    <row r="351" spans="1:9" x14ac:dyDescent="0.2">
      <c r="A351" s="47" t="s">
        <v>436</v>
      </c>
      <c r="B351" s="55" t="s">
        <v>66</v>
      </c>
      <c r="C351" s="55" t="s">
        <v>604</v>
      </c>
      <c r="D351" s="178" t="s">
        <v>938</v>
      </c>
      <c r="E351" s="179"/>
      <c r="F351" s="55" t="s">
        <v>1003</v>
      </c>
      <c r="G351" s="64">
        <v>4</v>
      </c>
      <c r="H351" s="102">
        <v>0</v>
      </c>
      <c r="I351" s="19"/>
    </row>
    <row r="352" spans="1:9" x14ac:dyDescent="0.2">
      <c r="A352" s="49" t="s">
        <v>437</v>
      </c>
      <c r="B352" s="57" t="s">
        <v>66</v>
      </c>
      <c r="C352" s="57" t="s">
        <v>796</v>
      </c>
      <c r="D352" s="186" t="s">
        <v>939</v>
      </c>
      <c r="E352" s="187"/>
      <c r="F352" s="57" t="s">
        <v>1004</v>
      </c>
      <c r="G352" s="65">
        <v>4</v>
      </c>
      <c r="H352" s="103">
        <v>0</v>
      </c>
      <c r="I352" s="19"/>
    </row>
    <row r="353" spans="1:9" x14ac:dyDescent="0.2">
      <c r="A353" s="47" t="s">
        <v>438</v>
      </c>
      <c r="B353" s="55" t="s">
        <v>66</v>
      </c>
      <c r="C353" s="55" t="s">
        <v>606</v>
      </c>
      <c r="D353" s="178" t="s">
        <v>940</v>
      </c>
      <c r="E353" s="179"/>
      <c r="F353" s="55" t="s">
        <v>1003</v>
      </c>
      <c r="G353" s="64">
        <v>12</v>
      </c>
      <c r="H353" s="102">
        <v>0</v>
      </c>
      <c r="I353" s="19"/>
    </row>
    <row r="354" spans="1:9" ht="12.2" customHeight="1" x14ac:dyDescent="0.2">
      <c r="A354" s="19"/>
      <c r="D354" s="194" t="s">
        <v>1096</v>
      </c>
      <c r="E354" s="195"/>
      <c r="F354" s="195"/>
      <c r="G354" s="98">
        <v>10</v>
      </c>
      <c r="H354" s="16"/>
      <c r="I354" s="19"/>
    </row>
    <row r="355" spans="1:9" ht="12.2" customHeight="1" x14ac:dyDescent="0.2">
      <c r="A355" s="47"/>
      <c r="B355" s="55"/>
      <c r="C355" s="55"/>
      <c r="D355" s="194" t="s">
        <v>1097</v>
      </c>
      <c r="E355" s="195"/>
      <c r="F355" s="194"/>
      <c r="G355" s="98">
        <v>2</v>
      </c>
      <c r="H355" s="79"/>
      <c r="I355" s="19"/>
    </row>
    <row r="356" spans="1:9" ht="12.2" customHeight="1" x14ac:dyDescent="0.2">
      <c r="A356" s="47"/>
      <c r="B356" s="55"/>
      <c r="C356" s="55"/>
      <c r="D356" s="194" t="s">
        <v>1095</v>
      </c>
      <c r="E356" s="195"/>
      <c r="F356" s="194"/>
      <c r="G356" s="98">
        <v>0</v>
      </c>
      <c r="H356" s="79"/>
      <c r="I356" s="19"/>
    </row>
    <row r="357" spans="1:9" x14ac:dyDescent="0.2">
      <c r="A357" s="49" t="s">
        <v>439</v>
      </c>
      <c r="B357" s="57" t="s">
        <v>66</v>
      </c>
      <c r="C357" s="57" t="s">
        <v>797</v>
      </c>
      <c r="D357" s="186" t="s">
        <v>941</v>
      </c>
      <c r="E357" s="187"/>
      <c r="F357" s="57" t="s">
        <v>1004</v>
      </c>
      <c r="G357" s="65">
        <v>2</v>
      </c>
      <c r="H357" s="103">
        <v>0</v>
      </c>
      <c r="I357" s="19"/>
    </row>
    <row r="358" spans="1:9" x14ac:dyDescent="0.2">
      <c r="A358" s="49" t="s">
        <v>440</v>
      </c>
      <c r="B358" s="57" t="s">
        <v>66</v>
      </c>
      <c r="C358" s="57" t="s">
        <v>798</v>
      </c>
      <c r="D358" s="186" t="s">
        <v>943</v>
      </c>
      <c r="E358" s="187"/>
      <c r="F358" s="57" t="s">
        <v>1004</v>
      </c>
      <c r="G358" s="65">
        <v>2</v>
      </c>
      <c r="H358" s="103">
        <v>0</v>
      </c>
      <c r="I358" s="19"/>
    </row>
    <row r="359" spans="1:9" x14ac:dyDescent="0.2">
      <c r="A359" s="49" t="s">
        <v>441</v>
      </c>
      <c r="B359" s="57" t="s">
        <v>66</v>
      </c>
      <c r="C359" s="57" t="s">
        <v>799</v>
      </c>
      <c r="D359" s="186" t="s">
        <v>944</v>
      </c>
      <c r="E359" s="187"/>
      <c r="F359" s="57" t="s">
        <v>1004</v>
      </c>
      <c r="G359" s="65">
        <v>2</v>
      </c>
      <c r="H359" s="103">
        <v>0</v>
      </c>
      <c r="I359" s="19"/>
    </row>
    <row r="360" spans="1:9" x14ac:dyDescent="0.2">
      <c r="A360" s="49" t="s">
        <v>442</v>
      </c>
      <c r="B360" s="57" t="s">
        <v>66</v>
      </c>
      <c r="C360" s="57" t="s">
        <v>800</v>
      </c>
      <c r="D360" s="186" t="s">
        <v>945</v>
      </c>
      <c r="E360" s="187"/>
      <c r="F360" s="57" t="s">
        <v>1004</v>
      </c>
      <c r="G360" s="65">
        <v>2</v>
      </c>
      <c r="H360" s="103">
        <v>0</v>
      </c>
      <c r="I360" s="19"/>
    </row>
    <row r="361" spans="1:9" x14ac:dyDescent="0.2">
      <c r="A361" s="49" t="s">
        <v>443</v>
      </c>
      <c r="B361" s="57" t="s">
        <v>66</v>
      </c>
      <c r="C361" s="57" t="s">
        <v>801</v>
      </c>
      <c r="D361" s="186" t="s">
        <v>946</v>
      </c>
      <c r="E361" s="187"/>
      <c r="F361" s="57" t="s">
        <v>1004</v>
      </c>
      <c r="G361" s="65">
        <v>2</v>
      </c>
      <c r="H361" s="103">
        <v>0</v>
      </c>
      <c r="I361" s="19"/>
    </row>
    <row r="362" spans="1:9" x14ac:dyDescent="0.2">
      <c r="A362" s="49" t="s">
        <v>444</v>
      </c>
      <c r="B362" s="57" t="s">
        <v>66</v>
      </c>
      <c r="C362" s="57" t="s">
        <v>802</v>
      </c>
      <c r="D362" s="186" t="s">
        <v>942</v>
      </c>
      <c r="E362" s="187"/>
      <c r="F362" s="57" t="s">
        <v>1004</v>
      </c>
      <c r="G362" s="65">
        <v>1</v>
      </c>
      <c r="H362" s="103">
        <v>0</v>
      </c>
      <c r="I362" s="19"/>
    </row>
    <row r="363" spans="1:9" x14ac:dyDescent="0.2">
      <c r="A363" s="49" t="s">
        <v>445</v>
      </c>
      <c r="B363" s="57" t="s">
        <v>66</v>
      </c>
      <c r="C363" s="57" t="s">
        <v>803</v>
      </c>
      <c r="D363" s="186" t="s">
        <v>947</v>
      </c>
      <c r="E363" s="187"/>
      <c r="F363" s="57" t="s">
        <v>1004</v>
      </c>
      <c r="G363" s="65">
        <v>1</v>
      </c>
      <c r="H363" s="103">
        <v>0</v>
      </c>
      <c r="I363" s="19"/>
    </row>
    <row r="364" spans="1:9" ht="12.2" customHeight="1" x14ac:dyDescent="0.2">
      <c r="A364" s="47" t="s">
        <v>446</v>
      </c>
      <c r="B364" s="55" t="s">
        <v>66</v>
      </c>
      <c r="C364" s="55" t="s">
        <v>614</v>
      </c>
      <c r="D364" s="194" t="s">
        <v>1098</v>
      </c>
      <c r="E364" s="195"/>
      <c r="F364" s="194"/>
      <c r="G364" s="98">
        <v>3</v>
      </c>
      <c r="H364" s="102">
        <v>0</v>
      </c>
      <c r="I364" s="19"/>
    </row>
    <row r="365" spans="1:9" ht="12.2" customHeight="1" x14ac:dyDescent="0.2">
      <c r="A365" s="49" t="s">
        <v>447</v>
      </c>
      <c r="B365" s="57" t="s">
        <v>66</v>
      </c>
      <c r="C365" s="57" t="s">
        <v>804</v>
      </c>
      <c r="D365" s="196" t="s">
        <v>1098</v>
      </c>
      <c r="E365" s="197"/>
      <c r="F365" s="196"/>
      <c r="G365" s="99">
        <v>3</v>
      </c>
      <c r="H365" s="103">
        <v>0</v>
      </c>
      <c r="I365" s="19"/>
    </row>
    <row r="366" spans="1:9" ht="12.2" customHeight="1" x14ac:dyDescent="0.2">
      <c r="A366" s="47" t="s">
        <v>448</v>
      </c>
      <c r="B366" s="55" t="s">
        <v>66</v>
      </c>
      <c r="C366" s="55" t="s">
        <v>616</v>
      </c>
      <c r="D366" s="194" t="s">
        <v>1099</v>
      </c>
      <c r="E366" s="195"/>
      <c r="F366" s="194"/>
      <c r="G366" s="98">
        <v>4</v>
      </c>
      <c r="H366" s="102">
        <v>0</v>
      </c>
      <c r="I366" s="19"/>
    </row>
    <row r="367" spans="1:9" x14ac:dyDescent="0.2">
      <c r="A367" s="49" t="s">
        <v>449</v>
      </c>
      <c r="B367" s="57" t="s">
        <v>66</v>
      </c>
      <c r="C367" s="57" t="s">
        <v>805</v>
      </c>
      <c r="D367" s="186" t="s">
        <v>971</v>
      </c>
      <c r="E367" s="187"/>
      <c r="F367" s="57" t="s">
        <v>1004</v>
      </c>
      <c r="G367" s="65">
        <v>2</v>
      </c>
      <c r="H367" s="103">
        <v>0</v>
      </c>
      <c r="I367" s="19"/>
    </row>
    <row r="368" spans="1:9" x14ac:dyDescent="0.2">
      <c r="A368" s="49" t="s">
        <v>450</v>
      </c>
      <c r="B368" s="57" t="s">
        <v>66</v>
      </c>
      <c r="C368" s="57" t="s">
        <v>806</v>
      </c>
      <c r="D368" s="186" t="s">
        <v>952</v>
      </c>
      <c r="E368" s="187"/>
      <c r="F368" s="57" t="s">
        <v>1004</v>
      </c>
      <c r="G368" s="65">
        <v>2</v>
      </c>
      <c r="H368" s="103">
        <v>0</v>
      </c>
      <c r="I368" s="19"/>
    </row>
    <row r="369" spans="1:9" x14ac:dyDescent="0.2">
      <c r="A369" s="49" t="s">
        <v>451</v>
      </c>
      <c r="B369" s="57" t="s">
        <v>66</v>
      </c>
      <c r="C369" s="57" t="s">
        <v>807</v>
      </c>
      <c r="D369" s="186" t="s">
        <v>953</v>
      </c>
      <c r="E369" s="187"/>
      <c r="F369" s="57" t="s">
        <v>1007</v>
      </c>
      <c r="G369" s="65">
        <v>10</v>
      </c>
      <c r="H369" s="103">
        <v>0</v>
      </c>
      <c r="I369" s="19"/>
    </row>
    <row r="370" spans="1:9" ht="12.2" customHeight="1" x14ac:dyDescent="0.2">
      <c r="A370" s="47" t="s">
        <v>452</v>
      </c>
      <c r="B370" s="55" t="s">
        <v>66</v>
      </c>
      <c r="C370" s="55" t="s">
        <v>620</v>
      </c>
      <c r="D370" s="194" t="s">
        <v>1100</v>
      </c>
      <c r="E370" s="195"/>
      <c r="F370" s="194"/>
      <c r="G370" s="98">
        <v>14</v>
      </c>
      <c r="H370" s="102">
        <v>0</v>
      </c>
      <c r="I370" s="19"/>
    </row>
    <row r="371" spans="1:9" ht="12.2" customHeight="1" x14ac:dyDescent="0.2">
      <c r="A371" s="49" t="s">
        <v>453</v>
      </c>
      <c r="B371" s="57" t="s">
        <v>66</v>
      </c>
      <c r="C371" s="57" t="s">
        <v>808</v>
      </c>
      <c r="D371" s="196" t="s">
        <v>1100</v>
      </c>
      <c r="E371" s="197"/>
      <c r="F371" s="196"/>
      <c r="G371" s="99">
        <v>14</v>
      </c>
      <c r="H371" s="103">
        <v>0</v>
      </c>
      <c r="I371" s="19"/>
    </row>
    <row r="372" spans="1:9" ht="12.2" customHeight="1" x14ac:dyDescent="0.2">
      <c r="A372" s="47" t="s">
        <v>454</v>
      </c>
      <c r="B372" s="55" t="s">
        <v>66</v>
      </c>
      <c r="C372" s="55" t="s">
        <v>622</v>
      </c>
      <c r="D372" s="194" t="s">
        <v>1100</v>
      </c>
      <c r="E372" s="195"/>
      <c r="F372" s="194"/>
      <c r="G372" s="98">
        <v>14</v>
      </c>
      <c r="H372" s="102">
        <v>0</v>
      </c>
      <c r="I372" s="19"/>
    </row>
    <row r="373" spans="1:9" ht="12.2" customHeight="1" x14ac:dyDescent="0.2">
      <c r="A373" s="49" t="s">
        <v>455</v>
      </c>
      <c r="B373" s="57" t="s">
        <v>66</v>
      </c>
      <c r="C373" s="57" t="s">
        <v>809</v>
      </c>
      <c r="D373" s="196" t="s">
        <v>1100</v>
      </c>
      <c r="E373" s="197"/>
      <c r="F373" s="196"/>
      <c r="G373" s="99">
        <v>14</v>
      </c>
      <c r="H373" s="103">
        <v>0</v>
      </c>
      <c r="I373" s="19"/>
    </row>
    <row r="374" spans="1:9" x14ac:dyDescent="0.2">
      <c r="A374" s="47" t="s">
        <v>456</v>
      </c>
      <c r="B374" s="55" t="s">
        <v>66</v>
      </c>
      <c r="C374" s="55" t="s">
        <v>624</v>
      </c>
      <c r="D374" s="178" t="s">
        <v>958</v>
      </c>
      <c r="E374" s="179"/>
      <c r="F374" s="55" t="s">
        <v>1000</v>
      </c>
      <c r="G374" s="64">
        <v>3584.0039999999999</v>
      </c>
      <c r="H374" s="102">
        <v>0</v>
      </c>
      <c r="I374" s="19"/>
    </row>
    <row r="375" spans="1:9" x14ac:dyDescent="0.2">
      <c r="A375" s="93"/>
      <c r="B375" s="54"/>
      <c r="C375" s="54" t="s">
        <v>118</v>
      </c>
      <c r="D375" s="176" t="s">
        <v>43</v>
      </c>
      <c r="E375" s="177"/>
      <c r="F375" s="54"/>
      <c r="G375" s="83"/>
      <c r="H375" s="78"/>
      <c r="I375" s="19"/>
    </row>
    <row r="376" spans="1:9" x14ac:dyDescent="0.2">
      <c r="A376" s="47" t="s">
        <v>457</v>
      </c>
      <c r="B376" s="55" t="s">
        <v>63</v>
      </c>
      <c r="C376" s="55" t="s">
        <v>625</v>
      </c>
      <c r="D376" s="178" t="s">
        <v>960</v>
      </c>
      <c r="E376" s="179"/>
      <c r="F376" s="55" t="s">
        <v>1002</v>
      </c>
      <c r="G376" s="64">
        <v>1</v>
      </c>
      <c r="H376" s="102">
        <v>0</v>
      </c>
      <c r="I376" s="19"/>
    </row>
    <row r="377" spans="1:9" x14ac:dyDescent="0.2">
      <c r="A377" s="47" t="s">
        <v>458</v>
      </c>
      <c r="B377" s="55" t="s">
        <v>63</v>
      </c>
      <c r="C377" s="55" t="s">
        <v>626</v>
      </c>
      <c r="D377" s="178" t="s">
        <v>962</v>
      </c>
      <c r="E377" s="179"/>
      <c r="F377" s="55" t="s">
        <v>1006</v>
      </c>
      <c r="G377" s="64">
        <v>1</v>
      </c>
      <c r="H377" s="102">
        <v>0</v>
      </c>
      <c r="I377" s="19"/>
    </row>
    <row r="378" spans="1:9" x14ac:dyDescent="0.2">
      <c r="A378" s="47" t="s">
        <v>459</v>
      </c>
      <c r="B378" s="55" t="s">
        <v>63</v>
      </c>
      <c r="C378" s="55" t="s">
        <v>627</v>
      </c>
      <c r="D378" s="178" t="s">
        <v>962</v>
      </c>
      <c r="E378" s="179"/>
      <c r="F378" s="55" t="s">
        <v>1006</v>
      </c>
      <c r="G378" s="64">
        <v>1</v>
      </c>
      <c r="H378" s="102">
        <v>0</v>
      </c>
      <c r="I378" s="19"/>
    </row>
    <row r="379" spans="1:9" x14ac:dyDescent="0.2">
      <c r="A379" s="47" t="s">
        <v>460</v>
      </c>
      <c r="B379" s="55" t="s">
        <v>63</v>
      </c>
      <c r="C379" s="55" t="s">
        <v>628</v>
      </c>
      <c r="D379" s="178" t="s">
        <v>963</v>
      </c>
      <c r="E379" s="179"/>
      <c r="F379" s="55" t="s">
        <v>1006</v>
      </c>
      <c r="G379" s="64">
        <v>1</v>
      </c>
      <c r="H379" s="102">
        <v>0</v>
      </c>
      <c r="I379" s="19"/>
    </row>
    <row r="380" spans="1:9" x14ac:dyDescent="0.2">
      <c r="A380" s="47" t="s">
        <v>461</v>
      </c>
      <c r="B380" s="55" t="s">
        <v>63</v>
      </c>
      <c r="C380" s="55" t="s">
        <v>629</v>
      </c>
      <c r="D380" s="178" t="s">
        <v>964</v>
      </c>
      <c r="E380" s="179"/>
      <c r="F380" s="55" t="s">
        <v>1002</v>
      </c>
      <c r="G380" s="64">
        <v>1</v>
      </c>
      <c r="H380" s="102">
        <v>0</v>
      </c>
      <c r="I380" s="19"/>
    </row>
    <row r="381" spans="1:9" ht="12.2" customHeight="1" x14ac:dyDescent="0.2">
      <c r="A381" s="47" t="s">
        <v>462</v>
      </c>
      <c r="B381" s="55" t="s">
        <v>63</v>
      </c>
      <c r="C381" s="55" t="s">
        <v>630</v>
      </c>
      <c r="D381" s="194" t="s">
        <v>1103</v>
      </c>
      <c r="E381" s="195"/>
      <c r="F381" s="194"/>
      <c r="G381" s="98">
        <v>1</v>
      </c>
      <c r="H381" s="102">
        <v>0</v>
      </c>
      <c r="I381" s="19"/>
    </row>
    <row r="382" spans="1:9" x14ac:dyDescent="0.2">
      <c r="A382" s="47" t="s">
        <v>463</v>
      </c>
      <c r="B382" s="55" t="s">
        <v>63</v>
      </c>
      <c r="C382" s="55" t="s">
        <v>631</v>
      </c>
      <c r="D382" s="178" t="s">
        <v>967</v>
      </c>
      <c r="E382" s="179"/>
      <c r="F382" s="55" t="s">
        <v>999</v>
      </c>
      <c r="G382" s="64">
        <v>100</v>
      </c>
      <c r="H382" s="102">
        <v>0</v>
      </c>
      <c r="I382" s="19"/>
    </row>
    <row r="383" spans="1:9" x14ac:dyDescent="0.2">
      <c r="A383" s="47" t="s">
        <v>464</v>
      </c>
      <c r="B383" s="55" t="s">
        <v>64</v>
      </c>
      <c r="C383" s="55" t="s">
        <v>690</v>
      </c>
      <c r="D383" s="178" t="s">
        <v>960</v>
      </c>
      <c r="E383" s="179"/>
      <c r="F383" s="55" t="s">
        <v>1002</v>
      </c>
      <c r="G383" s="64">
        <v>1</v>
      </c>
      <c r="H383" s="102">
        <v>0</v>
      </c>
      <c r="I383" s="19"/>
    </row>
    <row r="384" spans="1:9" x14ac:dyDescent="0.2">
      <c r="A384" s="47" t="s">
        <v>465</v>
      </c>
      <c r="B384" s="55" t="s">
        <v>64</v>
      </c>
      <c r="C384" s="55" t="s">
        <v>691</v>
      </c>
      <c r="D384" s="178" t="s">
        <v>962</v>
      </c>
      <c r="E384" s="179"/>
      <c r="F384" s="55" t="s">
        <v>1006</v>
      </c>
      <c r="G384" s="64">
        <v>1</v>
      </c>
      <c r="H384" s="102">
        <v>0</v>
      </c>
      <c r="I384" s="19"/>
    </row>
    <row r="385" spans="1:9" x14ac:dyDescent="0.2">
      <c r="A385" s="47" t="s">
        <v>466</v>
      </c>
      <c r="B385" s="55" t="s">
        <v>64</v>
      </c>
      <c r="C385" s="55" t="s">
        <v>692</v>
      </c>
      <c r="D385" s="178" t="s">
        <v>962</v>
      </c>
      <c r="E385" s="179"/>
      <c r="F385" s="55" t="s">
        <v>1006</v>
      </c>
      <c r="G385" s="64">
        <v>1</v>
      </c>
      <c r="H385" s="102">
        <v>0</v>
      </c>
      <c r="I385" s="19"/>
    </row>
    <row r="386" spans="1:9" x14ac:dyDescent="0.2">
      <c r="A386" s="47" t="s">
        <v>467</v>
      </c>
      <c r="B386" s="55" t="s">
        <v>64</v>
      </c>
      <c r="C386" s="55" t="s">
        <v>693</v>
      </c>
      <c r="D386" s="178" t="s">
        <v>963</v>
      </c>
      <c r="E386" s="179"/>
      <c r="F386" s="55" t="s">
        <v>1006</v>
      </c>
      <c r="G386" s="64">
        <v>1</v>
      </c>
      <c r="H386" s="102">
        <v>0</v>
      </c>
      <c r="I386" s="19"/>
    </row>
    <row r="387" spans="1:9" x14ac:dyDescent="0.2">
      <c r="A387" s="47" t="s">
        <v>468</v>
      </c>
      <c r="B387" s="55" t="s">
        <v>64</v>
      </c>
      <c r="C387" s="55" t="s">
        <v>629</v>
      </c>
      <c r="D387" s="178" t="s">
        <v>964</v>
      </c>
      <c r="E387" s="179"/>
      <c r="F387" s="55" t="s">
        <v>1002</v>
      </c>
      <c r="G387" s="64">
        <v>1</v>
      </c>
      <c r="H387" s="102">
        <v>0</v>
      </c>
      <c r="I387" s="19"/>
    </row>
    <row r="388" spans="1:9" ht="12.2" customHeight="1" x14ac:dyDescent="0.2">
      <c r="A388" s="47" t="s">
        <v>469</v>
      </c>
      <c r="B388" s="55" t="s">
        <v>64</v>
      </c>
      <c r="C388" s="55" t="s">
        <v>630</v>
      </c>
      <c r="D388" s="194" t="s">
        <v>1103</v>
      </c>
      <c r="E388" s="195"/>
      <c r="F388" s="194"/>
      <c r="G388" s="98">
        <v>1</v>
      </c>
      <c r="H388" s="102">
        <v>0</v>
      </c>
      <c r="I388" s="19"/>
    </row>
    <row r="389" spans="1:9" x14ac:dyDescent="0.2">
      <c r="A389" s="47" t="s">
        <v>470</v>
      </c>
      <c r="B389" s="55" t="s">
        <v>64</v>
      </c>
      <c r="C389" s="55" t="s">
        <v>631</v>
      </c>
      <c r="D389" s="178" t="s">
        <v>967</v>
      </c>
      <c r="E389" s="179"/>
      <c r="F389" s="55" t="s">
        <v>999</v>
      </c>
      <c r="G389" s="64">
        <v>100</v>
      </c>
      <c r="H389" s="102">
        <v>0</v>
      </c>
      <c r="I389" s="19"/>
    </row>
    <row r="390" spans="1:9" x14ac:dyDescent="0.2">
      <c r="A390" s="47" t="s">
        <v>471</v>
      </c>
      <c r="B390" s="55" t="s">
        <v>65</v>
      </c>
      <c r="C390" s="55" t="s">
        <v>750</v>
      </c>
      <c r="D390" s="178" t="s">
        <v>960</v>
      </c>
      <c r="E390" s="179"/>
      <c r="F390" s="55" t="s">
        <v>1002</v>
      </c>
      <c r="G390" s="64">
        <v>1</v>
      </c>
      <c r="H390" s="102">
        <v>0</v>
      </c>
      <c r="I390" s="19"/>
    </row>
    <row r="391" spans="1:9" x14ac:dyDescent="0.2">
      <c r="A391" s="47" t="s">
        <v>472</v>
      </c>
      <c r="B391" s="55" t="s">
        <v>65</v>
      </c>
      <c r="C391" s="55" t="s">
        <v>751</v>
      </c>
      <c r="D391" s="178" t="s">
        <v>962</v>
      </c>
      <c r="E391" s="179"/>
      <c r="F391" s="55" t="s">
        <v>1006</v>
      </c>
      <c r="G391" s="64">
        <v>1</v>
      </c>
      <c r="H391" s="102">
        <v>0</v>
      </c>
      <c r="I391" s="19"/>
    </row>
    <row r="392" spans="1:9" x14ac:dyDescent="0.2">
      <c r="A392" s="47" t="s">
        <v>473</v>
      </c>
      <c r="B392" s="55" t="s">
        <v>65</v>
      </c>
      <c r="C392" s="55" t="s">
        <v>752</v>
      </c>
      <c r="D392" s="178" t="s">
        <v>962</v>
      </c>
      <c r="E392" s="179"/>
      <c r="F392" s="55" t="s">
        <v>1006</v>
      </c>
      <c r="G392" s="64">
        <v>1</v>
      </c>
      <c r="H392" s="102">
        <v>0</v>
      </c>
      <c r="I392" s="19"/>
    </row>
    <row r="393" spans="1:9" x14ac:dyDescent="0.2">
      <c r="A393" s="47" t="s">
        <v>474</v>
      </c>
      <c r="B393" s="55" t="s">
        <v>65</v>
      </c>
      <c r="C393" s="55" t="s">
        <v>753</v>
      </c>
      <c r="D393" s="178" t="s">
        <v>963</v>
      </c>
      <c r="E393" s="179"/>
      <c r="F393" s="55" t="s">
        <v>1006</v>
      </c>
      <c r="G393" s="64">
        <v>1</v>
      </c>
      <c r="H393" s="102">
        <v>0</v>
      </c>
      <c r="I393" s="19"/>
    </row>
    <row r="394" spans="1:9" x14ac:dyDescent="0.2">
      <c r="A394" s="47" t="s">
        <v>475</v>
      </c>
      <c r="B394" s="55" t="s">
        <v>65</v>
      </c>
      <c r="C394" s="55" t="s">
        <v>629</v>
      </c>
      <c r="D394" s="178" t="s">
        <v>964</v>
      </c>
      <c r="E394" s="179"/>
      <c r="F394" s="55" t="s">
        <v>1002</v>
      </c>
      <c r="G394" s="64">
        <v>1</v>
      </c>
      <c r="H394" s="102">
        <v>0</v>
      </c>
      <c r="I394" s="19"/>
    </row>
    <row r="395" spans="1:9" ht="12.2" customHeight="1" x14ac:dyDescent="0.2">
      <c r="A395" s="47" t="s">
        <v>476</v>
      </c>
      <c r="B395" s="55" t="s">
        <v>65</v>
      </c>
      <c r="C395" s="55" t="s">
        <v>630</v>
      </c>
      <c r="D395" s="194" t="s">
        <v>1103</v>
      </c>
      <c r="E395" s="195"/>
      <c r="F395" s="194"/>
      <c r="G395" s="98">
        <v>1</v>
      </c>
      <c r="H395" s="102">
        <v>0</v>
      </c>
      <c r="I395" s="19"/>
    </row>
    <row r="396" spans="1:9" x14ac:dyDescent="0.2">
      <c r="A396" s="47" t="s">
        <v>477</v>
      </c>
      <c r="B396" s="55" t="s">
        <v>65</v>
      </c>
      <c r="C396" s="55" t="s">
        <v>631</v>
      </c>
      <c r="D396" s="178" t="s">
        <v>967</v>
      </c>
      <c r="E396" s="179"/>
      <c r="F396" s="55" t="s">
        <v>999</v>
      </c>
      <c r="G396" s="64">
        <v>100</v>
      </c>
      <c r="H396" s="102">
        <v>0</v>
      </c>
      <c r="I396" s="19"/>
    </row>
    <row r="397" spans="1:9" x14ac:dyDescent="0.2">
      <c r="A397" s="47" t="s">
        <v>478</v>
      </c>
      <c r="B397" s="55" t="s">
        <v>66</v>
      </c>
      <c r="C397" s="55" t="s">
        <v>810</v>
      </c>
      <c r="D397" s="178" t="s">
        <v>960</v>
      </c>
      <c r="E397" s="179"/>
      <c r="F397" s="55" t="s">
        <v>1002</v>
      </c>
      <c r="G397" s="64">
        <v>1</v>
      </c>
      <c r="H397" s="102">
        <v>0</v>
      </c>
      <c r="I397" s="19"/>
    </row>
    <row r="398" spans="1:9" x14ac:dyDescent="0.2">
      <c r="A398" s="47" t="s">
        <v>479</v>
      </c>
      <c r="B398" s="55" t="s">
        <v>66</v>
      </c>
      <c r="C398" s="55" t="s">
        <v>811</v>
      </c>
      <c r="D398" s="178" t="s">
        <v>962</v>
      </c>
      <c r="E398" s="179"/>
      <c r="F398" s="55" t="s">
        <v>1006</v>
      </c>
      <c r="G398" s="64">
        <v>1</v>
      </c>
      <c r="H398" s="102">
        <v>0</v>
      </c>
      <c r="I398" s="19"/>
    </row>
    <row r="399" spans="1:9" x14ac:dyDescent="0.2">
      <c r="A399" s="47" t="s">
        <v>480</v>
      </c>
      <c r="B399" s="55" t="s">
        <v>66</v>
      </c>
      <c r="C399" s="55" t="s">
        <v>812</v>
      </c>
      <c r="D399" s="178" t="s">
        <v>962</v>
      </c>
      <c r="E399" s="179"/>
      <c r="F399" s="55" t="s">
        <v>1006</v>
      </c>
      <c r="G399" s="64">
        <v>1</v>
      </c>
      <c r="H399" s="102">
        <v>0</v>
      </c>
      <c r="I399" s="19"/>
    </row>
    <row r="400" spans="1:9" x14ac:dyDescent="0.2">
      <c r="A400" s="47" t="s">
        <v>481</v>
      </c>
      <c r="B400" s="55" t="s">
        <v>66</v>
      </c>
      <c r="C400" s="55" t="s">
        <v>813</v>
      </c>
      <c r="D400" s="178" t="s">
        <v>963</v>
      </c>
      <c r="E400" s="179"/>
      <c r="F400" s="55" t="s">
        <v>1006</v>
      </c>
      <c r="G400" s="64">
        <v>1</v>
      </c>
      <c r="H400" s="102">
        <v>0</v>
      </c>
      <c r="I400" s="19"/>
    </row>
    <row r="401" spans="1:9" x14ac:dyDescent="0.2">
      <c r="A401" s="47" t="s">
        <v>482</v>
      </c>
      <c r="B401" s="55" t="s">
        <v>66</v>
      </c>
      <c r="C401" s="55" t="s">
        <v>629</v>
      </c>
      <c r="D401" s="178" t="s">
        <v>964</v>
      </c>
      <c r="E401" s="179"/>
      <c r="F401" s="55" t="s">
        <v>1002</v>
      </c>
      <c r="G401" s="64">
        <v>1</v>
      </c>
      <c r="H401" s="102">
        <v>0</v>
      </c>
      <c r="I401" s="19"/>
    </row>
    <row r="402" spans="1:9" ht="12.2" customHeight="1" x14ac:dyDescent="0.2">
      <c r="A402" s="47" t="s">
        <v>483</v>
      </c>
      <c r="B402" s="55" t="s">
        <v>66</v>
      </c>
      <c r="C402" s="55" t="s">
        <v>630</v>
      </c>
      <c r="D402" s="194" t="s">
        <v>1103</v>
      </c>
      <c r="E402" s="195"/>
      <c r="F402" s="194"/>
      <c r="G402" s="98">
        <v>1</v>
      </c>
      <c r="H402" s="102">
        <v>0</v>
      </c>
      <c r="I402" s="19"/>
    </row>
    <row r="403" spans="1:9" x14ac:dyDescent="0.2">
      <c r="A403" s="47" t="s">
        <v>484</v>
      </c>
      <c r="B403" s="55" t="s">
        <v>66</v>
      </c>
      <c r="C403" s="55" t="s">
        <v>631</v>
      </c>
      <c r="D403" s="178" t="s">
        <v>967</v>
      </c>
      <c r="E403" s="179"/>
      <c r="F403" s="55" t="s">
        <v>999</v>
      </c>
      <c r="G403" s="64">
        <v>100</v>
      </c>
      <c r="H403" s="102">
        <v>0</v>
      </c>
      <c r="I403" s="19"/>
    </row>
    <row r="404" spans="1:9" x14ac:dyDescent="0.2">
      <c r="A404" s="93"/>
      <c r="B404" s="54"/>
      <c r="C404" s="54" t="s">
        <v>103</v>
      </c>
      <c r="D404" s="176" t="s">
        <v>122</v>
      </c>
      <c r="E404" s="177"/>
      <c r="F404" s="54"/>
      <c r="G404" s="83"/>
      <c r="H404" s="78"/>
      <c r="I404" s="19"/>
    </row>
    <row r="405" spans="1:9" ht="12.2" customHeight="1" x14ac:dyDescent="0.2">
      <c r="A405" s="47" t="s">
        <v>485</v>
      </c>
      <c r="B405" s="55" t="s">
        <v>62</v>
      </c>
      <c r="C405" s="55" t="s">
        <v>517</v>
      </c>
      <c r="D405" s="194" t="s">
        <v>1104</v>
      </c>
      <c r="E405" s="195"/>
      <c r="F405" s="194"/>
      <c r="G405" s="98">
        <v>0</v>
      </c>
      <c r="H405" s="102">
        <v>0</v>
      </c>
      <c r="I405" s="19"/>
    </row>
    <row r="406" spans="1:9" ht="12.2" customHeight="1" x14ac:dyDescent="0.2">
      <c r="A406" s="47" t="s">
        <v>486</v>
      </c>
      <c r="B406" s="55" t="s">
        <v>62</v>
      </c>
      <c r="C406" s="55" t="s">
        <v>518</v>
      </c>
      <c r="D406" s="194" t="s">
        <v>1105</v>
      </c>
      <c r="E406" s="195"/>
      <c r="F406" s="194"/>
      <c r="G406" s="98">
        <v>0</v>
      </c>
      <c r="H406" s="102">
        <v>0</v>
      </c>
      <c r="I406" s="19"/>
    </row>
    <row r="407" spans="1:9" ht="12.2" customHeight="1" x14ac:dyDescent="0.2">
      <c r="A407" s="47" t="s">
        <v>487</v>
      </c>
      <c r="B407" s="55" t="s">
        <v>62</v>
      </c>
      <c r="C407" s="55" t="s">
        <v>519</v>
      </c>
      <c r="D407" s="194" t="s">
        <v>1105</v>
      </c>
      <c r="E407" s="195"/>
      <c r="F407" s="194"/>
      <c r="G407" s="98">
        <v>0</v>
      </c>
      <c r="H407" s="102">
        <v>0</v>
      </c>
      <c r="I407" s="19"/>
    </row>
    <row r="408" spans="1:9" ht="12.2" customHeight="1" x14ac:dyDescent="0.2">
      <c r="A408" s="47" t="s">
        <v>488</v>
      </c>
      <c r="B408" s="55" t="s">
        <v>62</v>
      </c>
      <c r="C408" s="55" t="s">
        <v>520</v>
      </c>
      <c r="D408" s="194" t="s">
        <v>1106</v>
      </c>
      <c r="E408" s="195"/>
      <c r="F408" s="194"/>
      <c r="G408" s="98">
        <v>0</v>
      </c>
      <c r="H408" s="102">
        <v>0</v>
      </c>
      <c r="I408" s="19"/>
    </row>
    <row r="409" spans="1:9" x14ac:dyDescent="0.2">
      <c r="A409" s="93"/>
      <c r="B409" s="54"/>
      <c r="C409" s="54" t="s">
        <v>104</v>
      </c>
      <c r="D409" s="176" t="s">
        <v>123</v>
      </c>
      <c r="E409" s="177"/>
      <c r="F409" s="54"/>
      <c r="G409" s="83"/>
      <c r="H409" s="78"/>
      <c r="I409" s="19"/>
    </row>
    <row r="410" spans="1:9" ht="12.2" customHeight="1" x14ac:dyDescent="0.2">
      <c r="A410" s="47" t="s">
        <v>489</v>
      </c>
      <c r="B410" s="55" t="s">
        <v>62</v>
      </c>
      <c r="C410" s="55" t="s">
        <v>522</v>
      </c>
      <c r="D410" s="194" t="s">
        <v>1107</v>
      </c>
      <c r="E410" s="195"/>
      <c r="F410" s="194"/>
      <c r="G410" s="98">
        <v>0</v>
      </c>
      <c r="H410" s="102">
        <v>0</v>
      </c>
      <c r="I410" s="19"/>
    </row>
    <row r="411" spans="1:9" x14ac:dyDescent="0.2">
      <c r="A411" s="93"/>
      <c r="B411" s="54"/>
      <c r="C411" s="54" t="s">
        <v>105</v>
      </c>
      <c r="D411" s="176" t="s">
        <v>124</v>
      </c>
      <c r="E411" s="177"/>
      <c r="F411" s="54"/>
      <c r="G411" s="83"/>
      <c r="H411" s="78"/>
      <c r="I411" s="19"/>
    </row>
    <row r="412" spans="1:9" ht="12.2" customHeight="1" x14ac:dyDescent="0.2">
      <c r="A412" s="47" t="s">
        <v>490</v>
      </c>
      <c r="B412" s="55" t="s">
        <v>62</v>
      </c>
      <c r="C412" s="55" t="s">
        <v>523</v>
      </c>
      <c r="D412" s="194" t="s">
        <v>1108</v>
      </c>
      <c r="E412" s="195"/>
      <c r="F412" s="194"/>
      <c r="G412" s="98">
        <v>0</v>
      </c>
      <c r="H412" s="102">
        <v>0</v>
      </c>
      <c r="I412" s="19"/>
    </row>
    <row r="413" spans="1:9" ht="12.2" customHeight="1" x14ac:dyDescent="0.2">
      <c r="A413" s="47" t="s">
        <v>491</v>
      </c>
      <c r="B413" s="55" t="s">
        <v>62</v>
      </c>
      <c r="C413" s="55" t="s">
        <v>524</v>
      </c>
      <c r="D413" s="194" t="s">
        <v>1108</v>
      </c>
      <c r="E413" s="195"/>
      <c r="F413" s="194"/>
      <c r="G413" s="98">
        <v>0</v>
      </c>
      <c r="H413" s="102">
        <v>0</v>
      </c>
      <c r="I413" s="19"/>
    </row>
    <row r="414" spans="1:9" ht="12.2" customHeight="1" x14ac:dyDescent="0.2">
      <c r="A414" s="47" t="s">
        <v>492</v>
      </c>
      <c r="B414" s="55" t="s">
        <v>62</v>
      </c>
      <c r="C414" s="55" t="s">
        <v>525</v>
      </c>
      <c r="D414" s="194" t="s">
        <v>1109</v>
      </c>
      <c r="E414" s="195"/>
      <c r="F414" s="194"/>
      <c r="G414" s="98">
        <v>0</v>
      </c>
      <c r="H414" s="102">
        <v>0</v>
      </c>
      <c r="I414" s="19"/>
    </row>
    <row r="415" spans="1:9" ht="12.2" customHeight="1" x14ac:dyDescent="0.2">
      <c r="A415" s="47" t="s">
        <v>493</v>
      </c>
      <c r="B415" s="55" t="s">
        <v>62</v>
      </c>
      <c r="C415" s="55" t="s">
        <v>526</v>
      </c>
      <c r="D415" s="194" t="s">
        <v>1110</v>
      </c>
      <c r="E415" s="195"/>
      <c r="F415" s="194"/>
      <c r="G415" s="98">
        <v>0</v>
      </c>
      <c r="H415" s="102">
        <v>0</v>
      </c>
      <c r="I415" s="19"/>
    </row>
    <row r="416" spans="1:9" x14ac:dyDescent="0.2">
      <c r="A416" s="47" t="s">
        <v>494</v>
      </c>
      <c r="B416" s="55" t="s">
        <v>62</v>
      </c>
      <c r="C416" s="55" t="s">
        <v>527</v>
      </c>
      <c r="D416" s="178" t="s">
        <v>847</v>
      </c>
      <c r="E416" s="179"/>
      <c r="F416" s="55" t="s">
        <v>994</v>
      </c>
      <c r="G416" s="64">
        <v>286.86689999999999</v>
      </c>
      <c r="H416" s="102">
        <v>0</v>
      </c>
      <c r="I416" s="19"/>
    </row>
    <row r="417" spans="1:9" ht="12.2" customHeight="1" x14ac:dyDescent="0.2">
      <c r="A417" s="19"/>
      <c r="D417" s="194" t="s">
        <v>1111</v>
      </c>
      <c r="E417" s="195"/>
      <c r="F417" s="195"/>
      <c r="G417" s="98">
        <v>0</v>
      </c>
      <c r="H417" s="16"/>
      <c r="I417" s="19"/>
    </row>
    <row r="418" spans="1:9" ht="12.2" customHeight="1" x14ac:dyDescent="0.2">
      <c r="A418" s="47"/>
      <c r="B418" s="55"/>
      <c r="C418" s="55"/>
      <c r="D418" s="194" t="s">
        <v>1112</v>
      </c>
      <c r="E418" s="195"/>
      <c r="F418" s="194"/>
      <c r="G418" s="98">
        <v>0</v>
      </c>
      <c r="H418" s="79"/>
      <c r="I418" s="19"/>
    </row>
    <row r="419" spans="1:9" ht="12.2" customHeight="1" x14ac:dyDescent="0.2">
      <c r="A419" s="47"/>
      <c r="B419" s="55"/>
      <c r="C419" s="55"/>
      <c r="D419" s="194" t="s">
        <v>1113</v>
      </c>
      <c r="E419" s="195"/>
      <c r="F419" s="194"/>
      <c r="G419" s="98">
        <v>0</v>
      </c>
      <c r="H419" s="79"/>
      <c r="I419" s="19"/>
    </row>
    <row r="420" spans="1:9" ht="12.2" customHeight="1" x14ac:dyDescent="0.2">
      <c r="A420" s="47"/>
      <c r="B420" s="55"/>
      <c r="C420" s="55"/>
      <c r="D420" s="194" t="s">
        <v>1114</v>
      </c>
      <c r="E420" s="195"/>
      <c r="F420" s="194"/>
      <c r="G420" s="98">
        <v>0</v>
      </c>
      <c r="H420" s="79"/>
      <c r="I420" s="19"/>
    </row>
    <row r="421" spans="1:9" ht="12.2" customHeight="1" x14ac:dyDescent="0.2">
      <c r="A421" s="47"/>
      <c r="B421" s="55"/>
      <c r="C421" s="55"/>
      <c r="D421" s="194" t="s">
        <v>1115</v>
      </c>
      <c r="E421" s="195"/>
      <c r="F421" s="194"/>
      <c r="G421" s="98">
        <v>0</v>
      </c>
      <c r="H421" s="79"/>
      <c r="I421" s="19"/>
    </row>
    <row r="422" spans="1:9" ht="12.2" customHeight="1" x14ac:dyDescent="0.2">
      <c r="A422" s="47" t="s">
        <v>495</v>
      </c>
      <c r="B422" s="55" t="s">
        <v>62</v>
      </c>
      <c r="C422" s="55" t="s">
        <v>528</v>
      </c>
      <c r="D422" s="194" t="s">
        <v>1116</v>
      </c>
      <c r="E422" s="195"/>
      <c r="F422" s="194"/>
      <c r="G422" s="98">
        <v>0</v>
      </c>
      <c r="H422" s="102">
        <v>0</v>
      </c>
      <c r="I422" s="19"/>
    </row>
    <row r="423" spans="1:9" ht="12.2" customHeight="1" x14ac:dyDescent="0.2">
      <c r="A423" s="47"/>
      <c r="B423" s="55"/>
      <c r="C423" s="55"/>
      <c r="D423" s="194" t="s">
        <v>1117</v>
      </c>
      <c r="E423" s="195"/>
      <c r="F423" s="194"/>
      <c r="G423" s="98">
        <v>0</v>
      </c>
      <c r="H423" s="79"/>
      <c r="I423" s="19"/>
    </row>
    <row r="424" spans="1:9" x14ac:dyDescent="0.2">
      <c r="A424" s="47" t="s">
        <v>496</v>
      </c>
      <c r="B424" s="55" t="s">
        <v>62</v>
      </c>
      <c r="C424" s="55" t="s">
        <v>529</v>
      </c>
      <c r="D424" s="178" t="s">
        <v>849</v>
      </c>
      <c r="E424" s="179"/>
      <c r="F424" s="55" t="s">
        <v>994</v>
      </c>
      <c r="G424" s="64">
        <v>23.440999999999999</v>
      </c>
      <c r="H424" s="102">
        <v>0</v>
      </c>
      <c r="I424" s="19"/>
    </row>
    <row r="425" spans="1:9" ht="12.2" customHeight="1" x14ac:dyDescent="0.2">
      <c r="A425" s="19"/>
      <c r="D425" s="194" t="s">
        <v>1118</v>
      </c>
      <c r="E425" s="195"/>
      <c r="F425" s="195"/>
      <c r="G425" s="98">
        <v>0</v>
      </c>
      <c r="H425" s="16"/>
      <c r="I425" s="19"/>
    </row>
    <row r="426" spans="1:9" ht="12.2" customHeight="1" x14ac:dyDescent="0.2">
      <c r="A426" s="47"/>
      <c r="B426" s="55"/>
      <c r="C426" s="55"/>
      <c r="D426" s="194" t="s">
        <v>1119</v>
      </c>
      <c r="E426" s="195"/>
      <c r="F426" s="194"/>
      <c r="G426" s="98">
        <v>0</v>
      </c>
      <c r="H426" s="79"/>
      <c r="I426" s="19"/>
    </row>
    <row r="427" spans="1:9" ht="12.2" customHeight="1" x14ac:dyDescent="0.2">
      <c r="A427" s="47"/>
      <c r="B427" s="55"/>
      <c r="C427" s="55"/>
      <c r="D427" s="194" t="s">
        <v>1120</v>
      </c>
      <c r="E427" s="195"/>
      <c r="F427" s="194"/>
      <c r="G427" s="98">
        <v>0</v>
      </c>
      <c r="H427" s="79"/>
      <c r="I427" s="19"/>
    </row>
    <row r="428" spans="1:9" x14ac:dyDescent="0.2">
      <c r="A428" s="93"/>
      <c r="B428" s="54"/>
      <c r="C428" s="54" t="s">
        <v>106</v>
      </c>
      <c r="D428" s="176" t="s">
        <v>125</v>
      </c>
      <c r="E428" s="177"/>
      <c r="F428" s="54"/>
      <c r="G428" s="83"/>
      <c r="H428" s="78"/>
      <c r="I428" s="19"/>
    </row>
    <row r="429" spans="1:9" ht="12.2" customHeight="1" x14ac:dyDescent="0.2">
      <c r="A429" s="47" t="s">
        <v>497</v>
      </c>
      <c r="B429" s="55" t="s">
        <v>62</v>
      </c>
      <c r="C429" s="55" t="s">
        <v>530</v>
      </c>
      <c r="D429" s="194" t="s">
        <v>1121</v>
      </c>
      <c r="E429" s="195"/>
      <c r="F429" s="194"/>
      <c r="G429" s="98">
        <v>0</v>
      </c>
      <c r="H429" s="102">
        <v>0</v>
      </c>
      <c r="I429" s="19"/>
    </row>
    <row r="430" spans="1:9" x14ac:dyDescent="0.2">
      <c r="A430" s="93"/>
      <c r="B430" s="54"/>
      <c r="C430" s="54" t="s">
        <v>107</v>
      </c>
      <c r="D430" s="176" t="s">
        <v>126</v>
      </c>
      <c r="E430" s="177"/>
      <c r="F430" s="54"/>
      <c r="G430" s="83"/>
      <c r="H430" s="78"/>
      <c r="I430" s="19"/>
    </row>
    <row r="431" spans="1:9" ht="12.2" customHeight="1" x14ac:dyDescent="0.2">
      <c r="A431" s="47" t="s">
        <v>498</v>
      </c>
      <c r="B431" s="55" t="s">
        <v>62</v>
      </c>
      <c r="C431" s="55" t="s">
        <v>531</v>
      </c>
      <c r="D431" s="194" t="s">
        <v>1122</v>
      </c>
      <c r="E431" s="195"/>
      <c r="F431" s="194"/>
      <c r="G431" s="98">
        <v>0</v>
      </c>
      <c r="H431" s="102">
        <v>0</v>
      </c>
      <c r="I431" s="19"/>
    </row>
    <row r="432" spans="1:9" x14ac:dyDescent="0.2">
      <c r="A432" s="93"/>
      <c r="B432" s="54"/>
      <c r="C432" s="54" t="s">
        <v>108</v>
      </c>
      <c r="D432" s="176" t="s">
        <v>127</v>
      </c>
      <c r="E432" s="177"/>
      <c r="F432" s="54"/>
      <c r="G432" s="83"/>
      <c r="H432" s="78"/>
      <c r="I432" s="19"/>
    </row>
    <row r="433" spans="1:9" x14ac:dyDescent="0.2">
      <c r="A433" s="47" t="s">
        <v>499</v>
      </c>
      <c r="B433" s="55" t="s">
        <v>62</v>
      </c>
      <c r="C433" s="55" t="s">
        <v>532</v>
      </c>
      <c r="D433" s="178" t="s">
        <v>853</v>
      </c>
      <c r="E433" s="179"/>
      <c r="F433" s="55" t="s">
        <v>997</v>
      </c>
      <c r="G433" s="64">
        <v>93.670400000000001</v>
      </c>
      <c r="H433" s="102">
        <v>0</v>
      </c>
      <c r="I433" s="19"/>
    </row>
    <row r="434" spans="1:9" ht="12.2" customHeight="1" x14ac:dyDescent="0.2">
      <c r="A434" s="19"/>
      <c r="D434" s="194" t="s">
        <v>1123</v>
      </c>
      <c r="E434" s="195"/>
      <c r="F434" s="195"/>
      <c r="G434" s="98">
        <v>0</v>
      </c>
      <c r="H434" s="16"/>
      <c r="I434" s="19"/>
    </row>
    <row r="435" spans="1:9" ht="12.2" customHeight="1" x14ac:dyDescent="0.2">
      <c r="A435" s="47"/>
      <c r="B435" s="55"/>
      <c r="C435" s="55"/>
      <c r="D435" s="194" t="s">
        <v>1124</v>
      </c>
      <c r="E435" s="195"/>
      <c r="F435" s="194"/>
      <c r="G435" s="98">
        <v>0</v>
      </c>
      <c r="H435" s="79"/>
      <c r="I435" s="19"/>
    </row>
    <row r="436" spans="1:9" ht="12.2" customHeight="1" x14ac:dyDescent="0.2">
      <c r="A436" s="47"/>
      <c r="B436" s="55"/>
      <c r="C436" s="55"/>
      <c r="D436" s="194" t="s">
        <v>1125</v>
      </c>
      <c r="E436" s="195"/>
      <c r="F436" s="194"/>
      <c r="G436" s="98">
        <v>0</v>
      </c>
      <c r="H436" s="79"/>
      <c r="I436" s="19"/>
    </row>
    <row r="437" spans="1:9" ht="12.2" customHeight="1" x14ac:dyDescent="0.2">
      <c r="A437" s="47"/>
      <c r="B437" s="55"/>
      <c r="C437" s="55"/>
      <c r="D437" s="194" t="s">
        <v>1126</v>
      </c>
      <c r="E437" s="195"/>
      <c r="F437" s="194"/>
      <c r="G437" s="98">
        <v>0</v>
      </c>
      <c r="H437" s="79"/>
      <c r="I437" s="19"/>
    </row>
    <row r="438" spans="1:9" ht="12.2" customHeight="1" x14ac:dyDescent="0.2">
      <c r="A438" s="47"/>
      <c r="B438" s="55"/>
      <c r="C438" s="55"/>
      <c r="D438" s="194" t="s">
        <v>1127</v>
      </c>
      <c r="E438" s="195"/>
      <c r="F438" s="194"/>
      <c r="G438" s="98">
        <v>0</v>
      </c>
      <c r="H438" s="79"/>
      <c r="I438" s="19"/>
    </row>
    <row r="439" spans="1:9" ht="12.2" customHeight="1" x14ac:dyDescent="0.2">
      <c r="A439" s="47"/>
      <c r="B439" s="55"/>
      <c r="C439" s="55"/>
      <c r="D439" s="194" t="s">
        <v>1128</v>
      </c>
      <c r="E439" s="195"/>
      <c r="F439" s="194"/>
      <c r="G439" s="98">
        <v>0</v>
      </c>
      <c r="H439" s="79"/>
      <c r="I439" s="19"/>
    </row>
    <row r="440" spans="1:9" x14ac:dyDescent="0.2">
      <c r="A440" s="93"/>
      <c r="B440" s="54"/>
      <c r="C440" s="54" t="s">
        <v>109</v>
      </c>
      <c r="D440" s="176" t="s">
        <v>128</v>
      </c>
      <c r="E440" s="177"/>
      <c r="F440" s="54"/>
      <c r="G440" s="83"/>
      <c r="H440" s="78"/>
      <c r="I440" s="19"/>
    </row>
    <row r="441" spans="1:9" ht="12.2" customHeight="1" x14ac:dyDescent="0.2">
      <c r="A441" s="47" t="s">
        <v>500</v>
      </c>
      <c r="B441" s="55" t="s">
        <v>62</v>
      </c>
      <c r="C441" s="55" t="s">
        <v>533</v>
      </c>
      <c r="D441" s="194" t="s">
        <v>1089</v>
      </c>
      <c r="E441" s="195"/>
      <c r="F441" s="194"/>
      <c r="G441" s="98">
        <v>0</v>
      </c>
      <c r="H441" s="102">
        <v>0</v>
      </c>
      <c r="I441" s="19"/>
    </row>
    <row r="442" spans="1:9" x14ac:dyDescent="0.2">
      <c r="A442" s="47" t="s">
        <v>501</v>
      </c>
      <c r="B442" s="55" t="s">
        <v>62</v>
      </c>
      <c r="C442" s="55" t="s">
        <v>534</v>
      </c>
      <c r="D442" s="178" t="s">
        <v>855</v>
      </c>
      <c r="E442" s="179"/>
      <c r="F442" s="55" t="s">
        <v>995</v>
      </c>
      <c r="G442" s="64">
        <v>1.2E-2</v>
      </c>
      <c r="H442" s="102">
        <v>0</v>
      </c>
      <c r="I442" s="19"/>
    </row>
    <row r="443" spans="1:9" x14ac:dyDescent="0.2">
      <c r="A443" s="93"/>
      <c r="B443" s="54"/>
      <c r="C443" s="54" t="s">
        <v>110</v>
      </c>
      <c r="D443" s="176" t="s">
        <v>129</v>
      </c>
      <c r="E443" s="177"/>
      <c r="F443" s="54"/>
      <c r="G443" s="83"/>
      <c r="H443" s="78"/>
      <c r="I443" s="19"/>
    </row>
    <row r="444" spans="1:9" ht="12.2" customHeight="1" x14ac:dyDescent="0.2">
      <c r="A444" s="47" t="s">
        <v>502</v>
      </c>
      <c r="B444" s="55" t="s">
        <v>62</v>
      </c>
      <c r="C444" s="55" t="s">
        <v>535</v>
      </c>
      <c r="D444" s="194" t="s">
        <v>1089</v>
      </c>
      <c r="E444" s="195"/>
      <c r="F444" s="194"/>
      <c r="G444" s="98">
        <v>0</v>
      </c>
      <c r="H444" s="102">
        <v>0</v>
      </c>
      <c r="I444" s="19"/>
    </row>
    <row r="445" spans="1:9" x14ac:dyDescent="0.2">
      <c r="A445" s="93"/>
      <c r="B445" s="54"/>
      <c r="C445" s="54" t="s">
        <v>111</v>
      </c>
      <c r="D445" s="176" t="s">
        <v>130</v>
      </c>
      <c r="E445" s="177"/>
      <c r="F445" s="54"/>
      <c r="G445" s="83"/>
      <c r="H445" s="78"/>
      <c r="I445" s="19"/>
    </row>
    <row r="446" spans="1:9" ht="12.2" customHeight="1" x14ac:dyDescent="0.2">
      <c r="A446" s="47" t="s">
        <v>503</v>
      </c>
      <c r="B446" s="55" t="s">
        <v>62</v>
      </c>
      <c r="C446" s="55" t="s">
        <v>536</v>
      </c>
      <c r="D446" s="194" t="s">
        <v>1129</v>
      </c>
      <c r="E446" s="195"/>
      <c r="F446" s="194"/>
      <c r="G446" s="98">
        <v>0</v>
      </c>
      <c r="H446" s="102">
        <v>0</v>
      </c>
      <c r="I446" s="19"/>
    </row>
    <row r="447" spans="1:9" ht="12.2" customHeight="1" x14ac:dyDescent="0.2">
      <c r="A447" s="47"/>
      <c r="B447" s="55"/>
      <c r="C447" s="55"/>
      <c r="D447" s="194" t="s">
        <v>1130</v>
      </c>
      <c r="E447" s="195"/>
      <c r="F447" s="194"/>
      <c r="G447" s="98">
        <v>0</v>
      </c>
      <c r="H447" s="79"/>
      <c r="I447" s="19"/>
    </row>
    <row r="448" spans="1:9" x14ac:dyDescent="0.2">
      <c r="A448" s="47" t="s">
        <v>504</v>
      </c>
      <c r="B448" s="55" t="s">
        <v>62</v>
      </c>
      <c r="C448" s="55" t="s">
        <v>537</v>
      </c>
      <c r="D448" s="178" t="s">
        <v>858</v>
      </c>
      <c r="E448" s="179"/>
      <c r="F448" s="55" t="s">
        <v>998</v>
      </c>
      <c r="G448" s="64">
        <v>28</v>
      </c>
      <c r="H448" s="102">
        <v>0</v>
      </c>
      <c r="I448" s="19"/>
    </row>
    <row r="449" spans="1:9" ht="12.2" customHeight="1" x14ac:dyDescent="0.2">
      <c r="A449" s="19"/>
      <c r="D449" s="194" t="s">
        <v>1131</v>
      </c>
      <c r="E449" s="195"/>
      <c r="F449" s="195"/>
      <c r="G449" s="98">
        <v>0</v>
      </c>
      <c r="H449" s="16"/>
      <c r="I449" s="19"/>
    </row>
    <row r="450" spans="1:9" ht="12.2" customHeight="1" x14ac:dyDescent="0.2">
      <c r="A450" s="47"/>
      <c r="B450" s="55"/>
      <c r="C450" s="55"/>
      <c r="D450" s="194" t="s">
        <v>1132</v>
      </c>
      <c r="E450" s="195"/>
      <c r="F450" s="194"/>
      <c r="G450" s="98">
        <v>0</v>
      </c>
      <c r="H450" s="79"/>
      <c r="I450" s="19"/>
    </row>
    <row r="451" spans="1:9" ht="12.2" customHeight="1" x14ac:dyDescent="0.2">
      <c r="A451" s="47"/>
      <c r="B451" s="55"/>
      <c r="C451" s="55"/>
      <c r="D451" s="194" t="s">
        <v>1133</v>
      </c>
      <c r="E451" s="195"/>
      <c r="F451" s="194"/>
      <c r="G451" s="98">
        <v>0</v>
      </c>
      <c r="H451" s="79"/>
      <c r="I451" s="19"/>
    </row>
    <row r="452" spans="1:9" ht="12.2" customHeight="1" x14ac:dyDescent="0.2">
      <c r="A452" s="47"/>
      <c r="B452" s="55"/>
      <c r="C452" s="55"/>
      <c r="D452" s="194" t="s">
        <v>1134</v>
      </c>
      <c r="E452" s="195"/>
      <c r="F452" s="194"/>
      <c r="G452" s="98">
        <v>0</v>
      </c>
      <c r="H452" s="79"/>
      <c r="I452" s="19"/>
    </row>
    <row r="453" spans="1:9" ht="12.2" customHeight="1" x14ac:dyDescent="0.2">
      <c r="A453" s="47" t="s">
        <v>505</v>
      </c>
      <c r="B453" s="55" t="s">
        <v>62</v>
      </c>
      <c r="C453" s="55" t="s">
        <v>538</v>
      </c>
      <c r="D453" s="194" t="s">
        <v>1135</v>
      </c>
      <c r="E453" s="195"/>
      <c r="F453" s="194"/>
      <c r="G453" s="98">
        <v>0</v>
      </c>
      <c r="H453" s="102">
        <v>0</v>
      </c>
      <c r="I453" s="19"/>
    </row>
    <row r="454" spans="1:9" ht="12.2" customHeight="1" x14ac:dyDescent="0.2">
      <c r="A454" s="47" t="s">
        <v>506</v>
      </c>
      <c r="B454" s="55" t="s">
        <v>62</v>
      </c>
      <c r="C454" s="55" t="s">
        <v>539</v>
      </c>
      <c r="D454" s="194" t="s">
        <v>1122</v>
      </c>
      <c r="E454" s="195"/>
      <c r="F454" s="194"/>
      <c r="G454" s="98">
        <v>0</v>
      </c>
      <c r="H454" s="102">
        <v>0</v>
      </c>
      <c r="I454" s="19"/>
    </row>
    <row r="455" spans="1:9" ht="12.2" customHeight="1" x14ac:dyDescent="0.2">
      <c r="A455" s="47" t="s">
        <v>507</v>
      </c>
      <c r="B455" s="55" t="s">
        <v>62</v>
      </c>
      <c r="C455" s="55" t="s">
        <v>540</v>
      </c>
      <c r="D455" s="194" t="s">
        <v>1136</v>
      </c>
      <c r="E455" s="195"/>
      <c r="F455" s="194"/>
      <c r="G455" s="98">
        <v>0</v>
      </c>
      <c r="H455" s="102">
        <v>0</v>
      </c>
      <c r="I455" s="19"/>
    </row>
    <row r="456" spans="1:9" x14ac:dyDescent="0.2">
      <c r="A456" s="93"/>
      <c r="B456" s="54"/>
      <c r="C456" s="54" t="s">
        <v>112</v>
      </c>
      <c r="D456" s="176" t="s">
        <v>131</v>
      </c>
      <c r="E456" s="177"/>
      <c r="F456" s="54"/>
      <c r="G456" s="83"/>
      <c r="H456" s="78"/>
      <c r="I456" s="19"/>
    </row>
    <row r="457" spans="1:9" x14ac:dyDescent="0.2">
      <c r="A457" s="47" t="s">
        <v>508</v>
      </c>
      <c r="B457" s="55" t="s">
        <v>62</v>
      </c>
      <c r="C457" s="55" t="s">
        <v>541</v>
      </c>
      <c r="D457" s="178" t="s">
        <v>862</v>
      </c>
      <c r="E457" s="179"/>
      <c r="F457" s="55" t="s">
        <v>995</v>
      </c>
      <c r="G457" s="64">
        <v>15.4283</v>
      </c>
      <c r="H457" s="102">
        <v>0</v>
      </c>
      <c r="I457" s="19"/>
    </row>
    <row r="458" spans="1:9" x14ac:dyDescent="0.2">
      <c r="A458" s="93"/>
      <c r="B458" s="54"/>
      <c r="C458" s="54" t="s">
        <v>113</v>
      </c>
      <c r="D458" s="176" t="s">
        <v>132</v>
      </c>
      <c r="E458" s="177"/>
      <c r="F458" s="54"/>
      <c r="G458" s="83"/>
      <c r="H458" s="78"/>
      <c r="I458" s="19"/>
    </row>
    <row r="459" spans="1:9" x14ac:dyDescent="0.2">
      <c r="A459" s="47" t="s">
        <v>509</v>
      </c>
      <c r="B459" s="55" t="s">
        <v>62</v>
      </c>
      <c r="C459" s="55" t="s">
        <v>542</v>
      </c>
      <c r="D459" s="178" t="s">
        <v>863</v>
      </c>
      <c r="E459" s="179"/>
      <c r="F459" s="55" t="s">
        <v>995</v>
      </c>
      <c r="G459" s="64">
        <v>6.0429199999999996</v>
      </c>
      <c r="H459" s="102">
        <v>0</v>
      </c>
      <c r="I459" s="19"/>
    </row>
    <row r="460" spans="1:9" ht="12.2" customHeight="1" x14ac:dyDescent="0.2">
      <c r="A460" s="47" t="s">
        <v>510</v>
      </c>
      <c r="B460" s="55" t="s">
        <v>62</v>
      </c>
      <c r="C460" s="55" t="s">
        <v>543</v>
      </c>
      <c r="D460" s="194" t="s">
        <v>1137</v>
      </c>
      <c r="E460" s="195"/>
      <c r="F460" s="194"/>
      <c r="G460" s="98">
        <v>0</v>
      </c>
      <c r="H460" s="102">
        <v>0</v>
      </c>
      <c r="I460" s="19"/>
    </row>
    <row r="461" spans="1:9" x14ac:dyDescent="0.2">
      <c r="A461" s="47" t="s">
        <v>511</v>
      </c>
      <c r="B461" s="55" t="s">
        <v>62</v>
      </c>
      <c r="C461" s="55" t="s">
        <v>544</v>
      </c>
      <c r="D461" s="178" t="s">
        <v>865</v>
      </c>
      <c r="E461" s="179"/>
      <c r="F461" s="55" t="s">
        <v>995</v>
      </c>
      <c r="G461" s="64">
        <v>6.0429199999999996</v>
      </c>
      <c r="H461" s="102">
        <v>0</v>
      </c>
      <c r="I461" s="19"/>
    </row>
    <row r="462" spans="1:9" ht="12.2" customHeight="1" x14ac:dyDescent="0.2">
      <c r="A462" s="47" t="s">
        <v>512</v>
      </c>
      <c r="B462" s="55" t="s">
        <v>62</v>
      </c>
      <c r="C462" s="55" t="s">
        <v>545</v>
      </c>
      <c r="D462" s="194" t="s">
        <v>1138</v>
      </c>
      <c r="E462" s="195"/>
      <c r="F462" s="194"/>
      <c r="G462" s="98">
        <v>0</v>
      </c>
      <c r="H462" s="102">
        <v>0</v>
      </c>
      <c r="I462" s="19"/>
    </row>
    <row r="463" spans="1:9" x14ac:dyDescent="0.2">
      <c r="A463" s="47" t="s">
        <v>513</v>
      </c>
      <c r="B463" s="55" t="s">
        <v>62</v>
      </c>
      <c r="C463" s="55" t="s">
        <v>546</v>
      </c>
      <c r="D463" s="178" t="s">
        <v>867</v>
      </c>
      <c r="E463" s="179"/>
      <c r="F463" s="55" t="s">
        <v>995</v>
      </c>
      <c r="G463" s="64">
        <v>6.0309200000000001</v>
      </c>
      <c r="H463" s="102">
        <v>0</v>
      </c>
      <c r="I463" s="19"/>
    </row>
    <row r="464" spans="1:9" x14ac:dyDescent="0.2">
      <c r="A464" s="50" t="s">
        <v>58</v>
      </c>
      <c r="B464" s="58" t="s">
        <v>62</v>
      </c>
      <c r="C464" s="58" t="s">
        <v>547</v>
      </c>
      <c r="D464" s="188" t="s">
        <v>868</v>
      </c>
      <c r="E464" s="189"/>
      <c r="F464" s="58" t="s">
        <v>995</v>
      </c>
      <c r="G464" s="66">
        <v>1.2E-2</v>
      </c>
      <c r="H464" s="104">
        <v>0</v>
      </c>
      <c r="I464" s="19"/>
    </row>
    <row r="465" spans="1:8" x14ac:dyDescent="0.2">
      <c r="A465" s="5"/>
      <c r="B465" s="5"/>
      <c r="C465" s="5"/>
      <c r="D465" s="5"/>
      <c r="E465" s="5"/>
      <c r="F465" s="5"/>
      <c r="G465" s="5"/>
      <c r="H465" s="5"/>
    </row>
    <row r="466" spans="1:8" ht="11.25" customHeight="1" x14ac:dyDescent="0.2">
      <c r="A466" s="27" t="s">
        <v>18</v>
      </c>
    </row>
    <row r="467" spans="1:8" x14ac:dyDescent="0.2">
      <c r="A467" s="120"/>
      <c r="B467" s="111"/>
      <c r="C467" s="111"/>
      <c r="D467" s="111"/>
      <c r="E467" s="111"/>
      <c r="F467" s="111"/>
      <c r="G467" s="111"/>
    </row>
  </sheetData>
  <sheetProtection sheet="1" objects="1" scenarios="1"/>
  <mergeCells count="473">
    <mergeCell ref="D461:E461"/>
    <mergeCell ref="D462:F462"/>
    <mergeCell ref="D463:E463"/>
    <mergeCell ref="D464:E464"/>
    <mergeCell ref="A467:G467"/>
    <mergeCell ref="D452:F452"/>
    <mergeCell ref="D453:F453"/>
    <mergeCell ref="D454:F454"/>
    <mergeCell ref="D455:F455"/>
    <mergeCell ref="D456:E456"/>
    <mergeCell ref="D457:E457"/>
    <mergeCell ref="D458:E458"/>
    <mergeCell ref="D459:E459"/>
    <mergeCell ref="D460:F460"/>
    <mergeCell ref="D443:E443"/>
    <mergeCell ref="D444:F444"/>
    <mergeCell ref="D445:E445"/>
    <mergeCell ref="D446:F446"/>
    <mergeCell ref="D447:F447"/>
    <mergeCell ref="D448:E448"/>
    <mergeCell ref="D449:F449"/>
    <mergeCell ref="D450:F450"/>
    <mergeCell ref="D451:F451"/>
    <mergeCell ref="D434:F434"/>
    <mergeCell ref="D435:F435"/>
    <mergeCell ref="D436:F436"/>
    <mergeCell ref="D437:F437"/>
    <mergeCell ref="D438:F438"/>
    <mergeCell ref="D439:F439"/>
    <mergeCell ref="D440:E440"/>
    <mergeCell ref="D441:F441"/>
    <mergeCell ref="D442:E442"/>
    <mergeCell ref="D425:F425"/>
    <mergeCell ref="D426:F426"/>
    <mergeCell ref="D427:F427"/>
    <mergeCell ref="D428:E428"/>
    <mergeCell ref="D429:F429"/>
    <mergeCell ref="D430:E430"/>
    <mergeCell ref="D431:F431"/>
    <mergeCell ref="D432:E432"/>
    <mergeCell ref="D433:E433"/>
    <mergeCell ref="D416:E416"/>
    <mergeCell ref="D417:F417"/>
    <mergeCell ref="D418:F418"/>
    <mergeCell ref="D419:F419"/>
    <mergeCell ref="D420:F420"/>
    <mergeCell ref="D421:F421"/>
    <mergeCell ref="D422:F422"/>
    <mergeCell ref="D423:F423"/>
    <mergeCell ref="D424:E424"/>
    <mergeCell ref="D407:F407"/>
    <mergeCell ref="D408:F408"/>
    <mergeCell ref="D409:E409"/>
    <mergeCell ref="D410:F410"/>
    <mergeCell ref="D411:E411"/>
    <mergeCell ref="D412:F412"/>
    <mergeCell ref="D413:F413"/>
    <mergeCell ref="D414:F414"/>
    <mergeCell ref="D415:F415"/>
    <mergeCell ref="D398:E398"/>
    <mergeCell ref="D399:E399"/>
    <mergeCell ref="D400:E400"/>
    <mergeCell ref="D401:E401"/>
    <mergeCell ref="D402:F402"/>
    <mergeCell ref="D403:E403"/>
    <mergeCell ref="D404:E404"/>
    <mergeCell ref="D405:F405"/>
    <mergeCell ref="D406:F406"/>
    <mergeCell ref="D389:E389"/>
    <mergeCell ref="D390:E390"/>
    <mergeCell ref="D391:E391"/>
    <mergeCell ref="D392:E392"/>
    <mergeCell ref="D393:E393"/>
    <mergeCell ref="D394:E394"/>
    <mergeCell ref="D395:F395"/>
    <mergeCell ref="D396:E396"/>
    <mergeCell ref="D397:E397"/>
    <mergeCell ref="D380:E380"/>
    <mergeCell ref="D381:F381"/>
    <mergeCell ref="D382:E382"/>
    <mergeCell ref="D383:E383"/>
    <mergeCell ref="D384:E384"/>
    <mergeCell ref="D385:E385"/>
    <mergeCell ref="D386:E386"/>
    <mergeCell ref="D387:E387"/>
    <mergeCell ref="D388:F388"/>
    <mergeCell ref="D371:F371"/>
    <mergeCell ref="D372:F372"/>
    <mergeCell ref="D373:F373"/>
    <mergeCell ref="D374:E374"/>
    <mergeCell ref="D375:E375"/>
    <mergeCell ref="D376:E376"/>
    <mergeCell ref="D377:E377"/>
    <mergeCell ref="D378:E378"/>
    <mergeCell ref="D379:E379"/>
    <mergeCell ref="D362:E362"/>
    <mergeCell ref="D363:E363"/>
    <mergeCell ref="D364:F364"/>
    <mergeCell ref="D365:F365"/>
    <mergeCell ref="D366:F366"/>
    <mergeCell ref="D367:E367"/>
    <mergeCell ref="D368:E368"/>
    <mergeCell ref="D369:E369"/>
    <mergeCell ref="D370:F370"/>
    <mergeCell ref="D353:E353"/>
    <mergeCell ref="D354:F354"/>
    <mergeCell ref="D355:F355"/>
    <mergeCell ref="D356:F356"/>
    <mergeCell ref="D357:E357"/>
    <mergeCell ref="D358:E358"/>
    <mergeCell ref="D359:E359"/>
    <mergeCell ref="D360:E360"/>
    <mergeCell ref="D361:E361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35:E335"/>
    <mergeCell ref="D336:E336"/>
    <mergeCell ref="D337:E337"/>
    <mergeCell ref="D338:E338"/>
    <mergeCell ref="D339:E339"/>
    <mergeCell ref="D340:E340"/>
    <mergeCell ref="D341:F341"/>
    <mergeCell ref="D342:F342"/>
    <mergeCell ref="D343:F343"/>
    <mergeCell ref="D326:E326"/>
    <mergeCell ref="D327:F327"/>
    <mergeCell ref="D328:F328"/>
    <mergeCell ref="D329:E329"/>
    <mergeCell ref="D330:E330"/>
    <mergeCell ref="D331:E331"/>
    <mergeCell ref="D332:E332"/>
    <mergeCell ref="D333:E333"/>
    <mergeCell ref="D334:E334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08:F308"/>
    <mergeCell ref="D309:E309"/>
    <mergeCell ref="D310:E310"/>
    <mergeCell ref="D311:E311"/>
    <mergeCell ref="D312:F312"/>
    <mergeCell ref="D313:F313"/>
    <mergeCell ref="D314:F314"/>
    <mergeCell ref="D315:F315"/>
    <mergeCell ref="D316:E316"/>
    <mergeCell ref="D299:E299"/>
    <mergeCell ref="D300:E300"/>
    <mergeCell ref="D301:E301"/>
    <mergeCell ref="D302:E302"/>
    <mergeCell ref="D303:E303"/>
    <mergeCell ref="D304:E304"/>
    <mergeCell ref="D305:E305"/>
    <mergeCell ref="D306:F306"/>
    <mergeCell ref="D307:F307"/>
    <mergeCell ref="D290:E290"/>
    <mergeCell ref="D291:E291"/>
    <mergeCell ref="D292:E292"/>
    <mergeCell ref="D293:E293"/>
    <mergeCell ref="D294:E294"/>
    <mergeCell ref="D295:E295"/>
    <mergeCell ref="D296:F296"/>
    <mergeCell ref="D297:F297"/>
    <mergeCell ref="D298:F298"/>
    <mergeCell ref="D281:E281"/>
    <mergeCell ref="D282:E282"/>
    <mergeCell ref="D283:F283"/>
    <mergeCell ref="D284:F284"/>
    <mergeCell ref="D285:F285"/>
    <mergeCell ref="D286:E286"/>
    <mergeCell ref="D287:E287"/>
    <mergeCell ref="D288:E288"/>
    <mergeCell ref="D289:E289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63:E263"/>
    <mergeCell ref="D264:E264"/>
    <mergeCell ref="D265:E265"/>
    <mergeCell ref="D266:E266"/>
    <mergeCell ref="D267:E267"/>
    <mergeCell ref="D268:E268"/>
    <mergeCell ref="D269:F269"/>
    <mergeCell ref="D270:F270"/>
    <mergeCell ref="D271:F271"/>
    <mergeCell ref="D254:F254"/>
    <mergeCell ref="D255:F255"/>
    <mergeCell ref="D256:F256"/>
    <mergeCell ref="D257:F257"/>
    <mergeCell ref="D258:E258"/>
    <mergeCell ref="D259:E259"/>
    <mergeCell ref="D260:E260"/>
    <mergeCell ref="D261:E261"/>
    <mergeCell ref="D262:E262"/>
    <mergeCell ref="D245:E245"/>
    <mergeCell ref="D246:E246"/>
    <mergeCell ref="D247:E247"/>
    <mergeCell ref="D248:F248"/>
    <mergeCell ref="D249:F249"/>
    <mergeCell ref="D250:F250"/>
    <mergeCell ref="D251:E251"/>
    <mergeCell ref="D252:E252"/>
    <mergeCell ref="D253:E253"/>
    <mergeCell ref="D236:E236"/>
    <mergeCell ref="D237:E237"/>
    <mergeCell ref="D238:F238"/>
    <mergeCell ref="D239:F239"/>
    <mergeCell ref="D240:F240"/>
    <mergeCell ref="D241:E241"/>
    <mergeCell ref="D242:E242"/>
    <mergeCell ref="D243:E243"/>
    <mergeCell ref="D244:E244"/>
    <mergeCell ref="D227:F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18:E218"/>
    <mergeCell ref="D219:E219"/>
    <mergeCell ref="D220:E220"/>
    <mergeCell ref="D221:E221"/>
    <mergeCell ref="D222:E222"/>
    <mergeCell ref="D223:E223"/>
    <mergeCell ref="D224:E224"/>
    <mergeCell ref="D225:F225"/>
    <mergeCell ref="D226:F226"/>
    <mergeCell ref="D209:E209"/>
    <mergeCell ref="D210:E210"/>
    <mergeCell ref="D211:F211"/>
    <mergeCell ref="D212:F212"/>
    <mergeCell ref="D213:E213"/>
    <mergeCell ref="D214:E214"/>
    <mergeCell ref="D215:E215"/>
    <mergeCell ref="D216:E216"/>
    <mergeCell ref="D217:E217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191:F191"/>
    <mergeCell ref="D192:F192"/>
    <mergeCell ref="D193:E193"/>
    <mergeCell ref="D194:E194"/>
    <mergeCell ref="D195:E195"/>
    <mergeCell ref="D196:F196"/>
    <mergeCell ref="D197:F197"/>
    <mergeCell ref="D198:F198"/>
    <mergeCell ref="D199:F199"/>
    <mergeCell ref="D182:F182"/>
    <mergeCell ref="D183:E183"/>
    <mergeCell ref="D184:E184"/>
    <mergeCell ref="D185:E185"/>
    <mergeCell ref="D186:E186"/>
    <mergeCell ref="D187:E187"/>
    <mergeCell ref="D188:E188"/>
    <mergeCell ref="D189:E189"/>
    <mergeCell ref="D190:F190"/>
    <mergeCell ref="D173:E173"/>
    <mergeCell ref="D174:E174"/>
    <mergeCell ref="D175:E175"/>
    <mergeCell ref="D176:E176"/>
    <mergeCell ref="D177:E177"/>
    <mergeCell ref="D178:E178"/>
    <mergeCell ref="D179:E179"/>
    <mergeCell ref="D180:F180"/>
    <mergeCell ref="D181:F181"/>
    <mergeCell ref="D164:E164"/>
    <mergeCell ref="D165:E165"/>
    <mergeCell ref="D166:E166"/>
    <mergeCell ref="D167:F167"/>
    <mergeCell ref="D168:F168"/>
    <mergeCell ref="D169:F169"/>
    <mergeCell ref="D170:E170"/>
    <mergeCell ref="D171:E171"/>
    <mergeCell ref="D172:E172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46:E146"/>
    <mergeCell ref="D147:E147"/>
    <mergeCell ref="D148:E148"/>
    <mergeCell ref="D149:E149"/>
    <mergeCell ref="D150:E150"/>
    <mergeCell ref="D151:E151"/>
    <mergeCell ref="D152:E152"/>
    <mergeCell ref="D153:F153"/>
    <mergeCell ref="D154:F154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47:F47"/>
    <mergeCell ref="D48:F48"/>
    <mergeCell ref="D49:F49"/>
    <mergeCell ref="D50:E50"/>
    <mergeCell ref="D51:E51"/>
    <mergeCell ref="D52:E52"/>
    <mergeCell ref="D53:E53"/>
    <mergeCell ref="D54:E54"/>
    <mergeCell ref="D55:E55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Krycí list rozpočtu</vt:lpstr>
      <vt:lpstr>Rozpočet - objekty</vt:lpstr>
      <vt:lpstr>Rozpočet - skupiny</vt:lpstr>
      <vt:lpstr>Rozpočet - podskupiny</vt:lpstr>
      <vt:lpstr>Stavební rozpočet</vt:lpstr>
      <vt:lpstr>Výkaz výměr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Hladký Martin - INTOZA s.r.o.</cp:lastModifiedBy>
  <cp:lastPrinted>2021-04-12T05:52:12Z</cp:lastPrinted>
  <dcterms:created xsi:type="dcterms:W3CDTF">2021-04-12T16:07:55Z</dcterms:created>
  <dcterms:modified xsi:type="dcterms:W3CDTF">2021-04-13T11:00:28Z</dcterms:modified>
</cp:coreProperties>
</file>