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660" windowHeight="5490"/>
  </bookViews>
  <sheets>
    <sheet name="Krycí list rozpočtu" sheetId="1" r:id="rId1"/>
    <sheet name="Rozpočet - objekty" sheetId="2" r:id="rId2"/>
    <sheet name="Rozpočet - skupiny" sheetId="3" r:id="rId3"/>
    <sheet name="Rozpočet - podskupiny" sheetId="4" r:id="rId4"/>
    <sheet name="Stavební rozpočet" sheetId="5" r:id="rId5"/>
    <sheet name="Výkaz výměr" sheetId="6" r:id="rId6"/>
  </sheets>
  <calcPr calcId="125725"/>
</workbook>
</file>

<file path=xl/calcChain.xml><?xml version="1.0" encoding="utf-8"?>
<calcChain xmlns="http://schemas.openxmlformats.org/spreadsheetml/2006/main">
  <c r="C2" i="1"/>
  <c r="F2"/>
  <c r="C4"/>
  <c r="F4"/>
  <c r="C6"/>
  <c r="F6"/>
  <c r="C8"/>
  <c r="F8"/>
  <c r="C10"/>
  <c r="F10"/>
  <c r="I10"/>
  <c r="F22"/>
  <c r="I22"/>
  <c r="D2" i="2"/>
  <c r="H2"/>
  <c r="J2"/>
  <c r="D4"/>
  <c r="H4"/>
  <c r="J4"/>
  <c r="D6"/>
  <c r="H6"/>
  <c r="J6"/>
  <c r="D8"/>
  <c r="H8"/>
  <c r="J8"/>
  <c r="N12"/>
  <c r="N13"/>
  <c r="N14"/>
  <c r="N15"/>
  <c r="N16"/>
  <c r="N17"/>
  <c r="N18"/>
  <c r="N19"/>
  <c r="N20"/>
  <c r="N21"/>
  <c r="N22"/>
  <c r="N23"/>
  <c r="N24"/>
  <c r="N25"/>
  <c r="N26"/>
  <c r="D2" i="4"/>
  <c r="H2"/>
  <c r="J2"/>
  <c r="D4"/>
  <c r="H4"/>
  <c r="J4"/>
  <c r="D6"/>
  <c r="H6"/>
  <c r="J6"/>
  <c r="D8"/>
  <c r="H8"/>
  <c r="J8"/>
  <c r="N12"/>
  <c r="P13"/>
  <c r="P14"/>
  <c r="P15"/>
  <c r="P16"/>
  <c r="P17"/>
  <c r="P18"/>
  <c r="P19"/>
  <c r="P20"/>
  <c r="P21"/>
  <c r="P22"/>
  <c r="P23"/>
  <c r="P24"/>
  <c r="P25"/>
  <c r="P26"/>
  <c r="P27"/>
  <c r="N28"/>
  <c r="P29"/>
  <c r="P30"/>
  <c r="P31"/>
  <c r="P32"/>
  <c r="P33"/>
  <c r="P34"/>
  <c r="P35"/>
  <c r="N36"/>
  <c r="P37"/>
  <c r="P38"/>
  <c r="P39"/>
  <c r="P40"/>
  <c r="P41"/>
  <c r="P42"/>
  <c r="P43"/>
  <c r="P44"/>
  <c r="P45"/>
  <c r="P46"/>
  <c r="P47"/>
  <c r="P48"/>
  <c r="P49"/>
  <c r="N50"/>
  <c r="P51"/>
  <c r="P52"/>
  <c r="P53"/>
  <c r="P54"/>
  <c r="P55"/>
  <c r="N56"/>
  <c r="P57"/>
  <c r="P58"/>
  <c r="P59"/>
  <c r="P60"/>
  <c r="N61"/>
  <c r="P62"/>
  <c r="P63"/>
  <c r="P64"/>
  <c r="P65"/>
  <c r="P66"/>
  <c r="P67"/>
  <c r="P68"/>
  <c r="N69"/>
  <c r="P70"/>
  <c r="P71"/>
  <c r="N72"/>
  <c r="P73"/>
  <c r="P74"/>
  <c r="N75"/>
  <c r="P76"/>
  <c r="P77"/>
  <c r="N78"/>
  <c r="P79"/>
  <c r="P80"/>
  <c r="N81"/>
  <c r="P82"/>
  <c r="P83"/>
  <c r="P84"/>
  <c r="P85"/>
  <c r="P86"/>
  <c r="P87"/>
  <c r="P88"/>
  <c r="P89"/>
  <c r="N90"/>
  <c r="P91"/>
  <c r="P92"/>
  <c r="P93"/>
  <c r="N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N118"/>
  <c r="P119"/>
  <c r="P120"/>
  <c r="N121"/>
  <c r="P122"/>
  <c r="D2" i="3"/>
  <c r="H2"/>
  <c r="J2"/>
  <c r="D4"/>
  <c r="H4"/>
  <c r="J4"/>
  <c r="D6"/>
  <c r="H6"/>
  <c r="J6"/>
  <c r="D8"/>
  <c r="H8"/>
  <c r="J8"/>
  <c r="N12"/>
  <c r="P13"/>
  <c r="P14"/>
  <c r="P15"/>
  <c r="P16"/>
  <c r="P17"/>
  <c r="P18"/>
  <c r="N19"/>
  <c r="P20"/>
  <c r="P21"/>
  <c r="P22"/>
  <c r="P23"/>
  <c r="N24"/>
  <c r="J25"/>
  <c r="P25"/>
  <c r="P26"/>
  <c r="P27"/>
  <c r="P28"/>
  <c r="P29"/>
  <c r="P30"/>
  <c r="N31"/>
  <c r="P32"/>
  <c r="P33"/>
  <c r="N34"/>
  <c r="P35"/>
  <c r="P36"/>
  <c r="N37"/>
  <c r="P38"/>
  <c r="P39"/>
  <c r="P40"/>
  <c r="P41"/>
  <c r="P42"/>
  <c r="N43"/>
  <c r="P44"/>
  <c r="N45"/>
  <c r="P46"/>
  <c r="N47"/>
  <c r="P48"/>
  <c r="N49"/>
  <c r="P50"/>
  <c r="P51"/>
  <c r="N52"/>
  <c r="P53"/>
  <c r="P54"/>
  <c r="P55"/>
  <c r="P56"/>
  <c r="P57"/>
  <c r="P58"/>
  <c r="N59"/>
  <c r="P60"/>
  <c r="P61"/>
  <c r="P62"/>
  <c r="N63"/>
  <c r="P64"/>
  <c r="P65"/>
  <c r="P66"/>
  <c r="P67"/>
  <c r="P68"/>
  <c r="P69"/>
  <c r="P70"/>
  <c r="P71"/>
  <c r="P72"/>
  <c r="N73"/>
  <c r="P74"/>
  <c r="N75"/>
  <c r="P76"/>
  <c r="AT13" i="5"/>
  <c r="K14"/>
  <c r="L14"/>
  <c r="AL14" s="1"/>
  <c r="Z14"/>
  <c r="AC14"/>
  <c r="AD14"/>
  <c r="AE14"/>
  <c r="AF14"/>
  <c r="AG14"/>
  <c r="AH14"/>
  <c r="AJ14"/>
  <c r="AK14"/>
  <c r="AO14"/>
  <c r="J14" s="1"/>
  <c r="AP14"/>
  <c r="AW14"/>
  <c r="AX14"/>
  <c r="BD14"/>
  <c r="BF14"/>
  <c r="BH14"/>
  <c r="AB14" s="1"/>
  <c r="BI14"/>
  <c r="BJ14"/>
  <c r="J16"/>
  <c r="K16"/>
  <c r="L16"/>
  <c r="AL16" s="1"/>
  <c r="Z16"/>
  <c r="AD16"/>
  <c r="AE16"/>
  <c r="AF16"/>
  <c r="AG16"/>
  <c r="AH16"/>
  <c r="AJ16"/>
  <c r="AK16"/>
  <c r="AO16"/>
  <c r="AP16"/>
  <c r="AV16"/>
  <c r="AW16"/>
  <c r="BC16" s="1"/>
  <c r="AX16"/>
  <c r="K13" i="3" s="1"/>
  <c r="BD16" i="5"/>
  <c r="BF16"/>
  <c r="BH16"/>
  <c r="AB16" s="1"/>
  <c r="BI16"/>
  <c r="AC16" s="1"/>
  <c r="BJ16"/>
  <c r="J19"/>
  <c r="J18" s="1"/>
  <c r="J14" i="4" s="1"/>
  <c r="K19" i="5"/>
  <c r="K18" s="1"/>
  <c r="K14" i="4" s="1"/>
  <c r="L19" i="5"/>
  <c r="AL19" s="1"/>
  <c r="AU18" s="1"/>
  <c r="Z19"/>
  <c r="AB19"/>
  <c r="AC19"/>
  <c r="AD19"/>
  <c r="AE19"/>
  <c r="AF19"/>
  <c r="AG19"/>
  <c r="AH19"/>
  <c r="AJ19"/>
  <c r="AS18" s="1"/>
  <c r="AK19"/>
  <c r="AT18" s="1"/>
  <c r="AO19"/>
  <c r="AP19"/>
  <c r="AV19"/>
  <c r="AW19"/>
  <c r="AX19"/>
  <c r="BD19"/>
  <c r="BF19"/>
  <c r="BH19"/>
  <c r="BI19"/>
  <c r="BJ19"/>
  <c r="AS21"/>
  <c r="AT21"/>
  <c r="L22"/>
  <c r="AL22" s="1"/>
  <c r="AU21" s="1"/>
  <c r="Z22"/>
  <c r="AD22"/>
  <c r="AE22"/>
  <c r="AF22"/>
  <c r="AG22"/>
  <c r="AH22"/>
  <c r="AJ22"/>
  <c r="AK22"/>
  <c r="AO22"/>
  <c r="J22" s="1"/>
  <c r="J21" s="1"/>
  <c r="J15" i="4" s="1"/>
  <c r="AP22" i="5"/>
  <c r="AX22" s="1"/>
  <c r="BD22"/>
  <c r="BF22"/>
  <c r="BH22"/>
  <c r="AB22" s="1"/>
  <c r="BI22"/>
  <c r="AC22" s="1"/>
  <c r="BJ22"/>
  <c r="J24"/>
  <c r="K24"/>
  <c r="L24"/>
  <c r="AL24" s="1"/>
  <c r="Z24"/>
  <c r="AB24"/>
  <c r="AC24"/>
  <c r="AD24"/>
  <c r="AE24"/>
  <c r="AF24"/>
  <c r="AG24"/>
  <c r="AH24"/>
  <c r="AJ24"/>
  <c r="AK24"/>
  <c r="AO24"/>
  <c r="AP24"/>
  <c r="AW24"/>
  <c r="AV24" s="1"/>
  <c r="AX24"/>
  <c r="BD24"/>
  <c r="BF24"/>
  <c r="BH24"/>
  <c r="BI24"/>
  <c r="BJ24"/>
  <c r="L25"/>
  <c r="Z25"/>
  <c r="AB25"/>
  <c r="AC25"/>
  <c r="AD25"/>
  <c r="AE25"/>
  <c r="AF25"/>
  <c r="AG25"/>
  <c r="AH25"/>
  <c r="AJ25"/>
  <c r="AK25"/>
  <c r="AL25"/>
  <c r="AO25"/>
  <c r="AW25" s="1"/>
  <c r="AP25"/>
  <c r="AX25" s="1"/>
  <c r="BD25"/>
  <c r="BF25"/>
  <c r="BH25"/>
  <c r="BI25"/>
  <c r="BJ25"/>
  <c r="J26"/>
  <c r="L26"/>
  <c r="AL26" s="1"/>
  <c r="Z26"/>
  <c r="AB26"/>
  <c r="AC26"/>
  <c r="AD26"/>
  <c r="AE26"/>
  <c r="AF26"/>
  <c r="AG26"/>
  <c r="AH26"/>
  <c r="AJ26"/>
  <c r="AK26"/>
  <c r="AO26"/>
  <c r="AP26"/>
  <c r="K26" s="1"/>
  <c r="AW26"/>
  <c r="AX26"/>
  <c r="AV26" s="1"/>
  <c r="BD26"/>
  <c r="BF26"/>
  <c r="BH26"/>
  <c r="BI26"/>
  <c r="BJ26"/>
  <c r="L27"/>
  <c r="Z27"/>
  <c r="AB27"/>
  <c r="AC27"/>
  <c r="AD27"/>
  <c r="AE27"/>
  <c r="AF27"/>
  <c r="AG27"/>
  <c r="AH27"/>
  <c r="AJ27"/>
  <c r="AK27"/>
  <c r="AL27"/>
  <c r="AO27"/>
  <c r="AW27" s="1"/>
  <c r="AP27"/>
  <c r="AX27" s="1"/>
  <c r="BD27"/>
  <c r="BF27"/>
  <c r="BH27"/>
  <c r="BI27"/>
  <c r="BJ27"/>
  <c r="L28"/>
  <c r="AL28" s="1"/>
  <c r="Z28"/>
  <c r="AB28"/>
  <c r="AD28"/>
  <c r="AE28"/>
  <c r="AF28"/>
  <c r="AG28"/>
  <c r="AH28"/>
  <c r="AJ28"/>
  <c r="AK28"/>
  <c r="AO28"/>
  <c r="AW28" s="1"/>
  <c r="AP28"/>
  <c r="K28" s="1"/>
  <c r="AX28"/>
  <c r="BD28"/>
  <c r="BF28"/>
  <c r="BH28"/>
  <c r="BI28"/>
  <c r="AC28" s="1"/>
  <c r="BJ28"/>
  <c r="J29"/>
  <c r="K29"/>
  <c r="L29"/>
  <c r="AL29" s="1"/>
  <c r="Z29"/>
  <c r="AD29"/>
  <c r="AE29"/>
  <c r="AF29"/>
  <c r="AG29"/>
  <c r="AH29"/>
  <c r="AJ29"/>
  <c r="AK29"/>
  <c r="AO29"/>
  <c r="AP29"/>
  <c r="AV29"/>
  <c r="AW29"/>
  <c r="BC29" s="1"/>
  <c r="AX29"/>
  <c r="BD29"/>
  <c r="BF29"/>
  <c r="BH29"/>
  <c r="AB29" s="1"/>
  <c r="BI29"/>
  <c r="AC29" s="1"/>
  <c r="BJ29"/>
  <c r="K31"/>
  <c r="L31"/>
  <c r="Z31"/>
  <c r="AB31"/>
  <c r="AC31"/>
  <c r="AD31"/>
  <c r="AE31"/>
  <c r="AF31"/>
  <c r="AG31"/>
  <c r="AH31"/>
  <c r="AJ31"/>
  <c r="AK31"/>
  <c r="AL31"/>
  <c r="AO31"/>
  <c r="AW31" s="1"/>
  <c r="AP31"/>
  <c r="AX31"/>
  <c r="BD31"/>
  <c r="BF31"/>
  <c r="BH31"/>
  <c r="BI31"/>
  <c r="BJ31"/>
  <c r="L33"/>
  <c r="AL33" s="1"/>
  <c r="Z33"/>
  <c r="AD33"/>
  <c r="AE33"/>
  <c r="AF33"/>
  <c r="AG33"/>
  <c r="AH33"/>
  <c r="AJ33"/>
  <c r="AK33"/>
  <c r="AO33"/>
  <c r="AW33" s="1"/>
  <c r="AP33"/>
  <c r="AX33" s="1"/>
  <c r="BD33"/>
  <c r="BF33"/>
  <c r="BH33"/>
  <c r="AB33" s="1"/>
  <c r="BI33"/>
  <c r="AC33" s="1"/>
  <c r="BJ33"/>
  <c r="L35"/>
  <c r="AL35" s="1"/>
  <c r="Z35"/>
  <c r="AD35"/>
  <c r="AE35"/>
  <c r="AF35"/>
  <c r="AG35"/>
  <c r="AH35"/>
  <c r="AJ35"/>
  <c r="AK35"/>
  <c r="AO35"/>
  <c r="AW35" s="1"/>
  <c r="AP35"/>
  <c r="AX35" s="1"/>
  <c r="BD35"/>
  <c r="BF35"/>
  <c r="BH35"/>
  <c r="AB35" s="1"/>
  <c r="BI35"/>
  <c r="AC35" s="1"/>
  <c r="BJ35"/>
  <c r="L37"/>
  <c r="AL37" s="1"/>
  <c r="Z37"/>
  <c r="AD37"/>
  <c r="AE37"/>
  <c r="AF37"/>
  <c r="AG37"/>
  <c r="AH37"/>
  <c r="AJ37"/>
  <c r="AK37"/>
  <c r="AO37"/>
  <c r="J37" s="1"/>
  <c r="AP37"/>
  <c r="AX37" s="1"/>
  <c r="BD37"/>
  <c r="BF37"/>
  <c r="BI37"/>
  <c r="AC37" s="1"/>
  <c r="BJ37"/>
  <c r="L38"/>
  <c r="Z38"/>
  <c r="AD38"/>
  <c r="AE38"/>
  <c r="AF38"/>
  <c r="AG38"/>
  <c r="AH38"/>
  <c r="AJ38"/>
  <c r="AK38"/>
  <c r="AL38"/>
  <c r="AO38"/>
  <c r="AW38" s="1"/>
  <c r="AP38"/>
  <c r="K38" s="1"/>
  <c r="BD38"/>
  <c r="BF38"/>
  <c r="BH38"/>
  <c r="AB38" s="1"/>
  <c r="BI38"/>
  <c r="AC38" s="1"/>
  <c r="BJ38"/>
  <c r="L39"/>
  <c r="Z39"/>
  <c r="AD39"/>
  <c r="AE39"/>
  <c r="AF39"/>
  <c r="AG39"/>
  <c r="AH39"/>
  <c r="AJ39"/>
  <c r="AK39"/>
  <c r="AL39"/>
  <c r="AO39"/>
  <c r="AW39" s="1"/>
  <c r="AP39"/>
  <c r="K39" s="1"/>
  <c r="BD39"/>
  <c r="BF39"/>
  <c r="BH39"/>
  <c r="AB39" s="1"/>
  <c r="BI39"/>
  <c r="AC39" s="1"/>
  <c r="BJ39"/>
  <c r="L41"/>
  <c r="Z41"/>
  <c r="AC41"/>
  <c r="AD41"/>
  <c r="AE41"/>
  <c r="AF41"/>
  <c r="AG41"/>
  <c r="AH41"/>
  <c r="AJ41"/>
  <c r="AK41"/>
  <c r="AL41"/>
  <c r="AO41"/>
  <c r="AW41" s="1"/>
  <c r="AP41"/>
  <c r="AX41" s="1"/>
  <c r="BD41"/>
  <c r="BF41"/>
  <c r="BH41"/>
  <c r="AB41" s="1"/>
  <c r="BI41"/>
  <c r="BJ41"/>
  <c r="K43"/>
  <c r="L43"/>
  <c r="Z43"/>
  <c r="AB43"/>
  <c r="AC43"/>
  <c r="AD43"/>
  <c r="AE43"/>
  <c r="AF43"/>
  <c r="AG43"/>
  <c r="AH43"/>
  <c r="AJ43"/>
  <c r="AK43"/>
  <c r="AL43"/>
  <c r="AO43"/>
  <c r="AW43" s="1"/>
  <c r="AP43"/>
  <c r="AX43"/>
  <c r="BD43"/>
  <c r="BF43"/>
  <c r="BH43"/>
  <c r="BI43"/>
  <c r="BJ43"/>
  <c r="L44"/>
  <c r="Z44"/>
  <c r="AC44"/>
  <c r="AD44"/>
  <c r="AE44"/>
  <c r="AF44"/>
  <c r="AG44"/>
  <c r="AH44"/>
  <c r="AJ44"/>
  <c r="AK44"/>
  <c r="AL44"/>
  <c r="AO44"/>
  <c r="J44" s="1"/>
  <c r="AP44"/>
  <c r="AX44" s="1"/>
  <c r="BD44"/>
  <c r="BF44"/>
  <c r="BH44"/>
  <c r="AB44" s="1"/>
  <c r="BI44"/>
  <c r="BJ44"/>
  <c r="L45"/>
  <c r="Z45"/>
  <c r="AB45"/>
  <c r="AC45"/>
  <c r="AD45"/>
  <c r="AE45"/>
  <c r="AF45"/>
  <c r="AG45"/>
  <c r="AH45"/>
  <c r="AJ45"/>
  <c r="AK45"/>
  <c r="AL45"/>
  <c r="AO45"/>
  <c r="AW45" s="1"/>
  <c r="AP45"/>
  <c r="AX45" s="1"/>
  <c r="BD45"/>
  <c r="BF45"/>
  <c r="BH45"/>
  <c r="BI45"/>
  <c r="BJ45"/>
  <c r="K47"/>
  <c r="L47"/>
  <c r="AL47" s="1"/>
  <c r="Z47"/>
  <c r="AB47"/>
  <c r="AD47"/>
  <c r="AE47"/>
  <c r="AF47"/>
  <c r="AG47"/>
  <c r="AH47"/>
  <c r="AJ47"/>
  <c r="AK47"/>
  <c r="AO47"/>
  <c r="J47" s="1"/>
  <c r="AP47"/>
  <c r="AW47"/>
  <c r="AV47" s="1"/>
  <c r="AX47"/>
  <c r="BD47"/>
  <c r="BF47"/>
  <c r="BH47"/>
  <c r="BI47"/>
  <c r="AC47" s="1"/>
  <c r="BJ47"/>
  <c r="L49"/>
  <c r="Z49"/>
  <c r="AC49"/>
  <c r="AD49"/>
  <c r="AE49"/>
  <c r="AF49"/>
  <c r="AG49"/>
  <c r="AH49"/>
  <c r="AJ49"/>
  <c r="AK49"/>
  <c r="AL49"/>
  <c r="AO49"/>
  <c r="J49" s="1"/>
  <c r="AP49"/>
  <c r="AX49" s="1"/>
  <c r="BD49"/>
  <c r="BF49"/>
  <c r="BH49"/>
  <c r="AB49" s="1"/>
  <c r="BI49"/>
  <c r="BJ49"/>
  <c r="L51"/>
  <c r="Z51"/>
  <c r="AB51"/>
  <c r="AC51"/>
  <c r="AF51"/>
  <c r="AG51"/>
  <c r="AH51"/>
  <c r="AJ51"/>
  <c r="AK51"/>
  <c r="AL51"/>
  <c r="AO51"/>
  <c r="J51" s="1"/>
  <c r="AP51"/>
  <c r="AX51" s="1"/>
  <c r="BD51"/>
  <c r="BF51"/>
  <c r="BH51"/>
  <c r="AD51" s="1"/>
  <c r="BI51"/>
  <c r="AE51" s="1"/>
  <c r="BJ51"/>
  <c r="J52"/>
  <c r="L52"/>
  <c r="AL52" s="1"/>
  <c r="Z52"/>
  <c r="AB52"/>
  <c r="AC52"/>
  <c r="AF52"/>
  <c r="AG52"/>
  <c r="AH52"/>
  <c r="AJ52"/>
  <c r="AK52"/>
  <c r="AO52"/>
  <c r="AP52"/>
  <c r="K52" s="1"/>
  <c r="AW52"/>
  <c r="BD52"/>
  <c r="BF52"/>
  <c r="BH52"/>
  <c r="AD52" s="1"/>
  <c r="BI52"/>
  <c r="AE52" s="1"/>
  <c r="BJ52"/>
  <c r="L53"/>
  <c r="Z53"/>
  <c r="AB53"/>
  <c r="AC53"/>
  <c r="AF53"/>
  <c r="AG53"/>
  <c r="AH53"/>
  <c r="AJ53"/>
  <c r="AS50" s="1"/>
  <c r="AK53"/>
  <c r="AL53"/>
  <c r="AO53"/>
  <c r="AW53" s="1"/>
  <c r="AP53"/>
  <c r="K53" s="1"/>
  <c r="BD53"/>
  <c r="BF53"/>
  <c r="BH53"/>
  <c r="AD53" s="1"/>
  <c r="BI53"/>
  <c r="AE53" s="1"/>
  <c r="BJ53"/>
  <c r="L54"/>
  <c r="Z54"/>
  <c r="AB54"/>
  <c r="AC54"/>
  <c r="AF54"/>
  <c r="AG54"/>
  <c r="AH54"/>
  <c r="AJ54"/>
  <c r="AK54"/>
  <c r="AL54"/>
  <c r="AO54"/>
  <c r="J54" s="1"/>
  <c r="AP54"/>
  <c r="AX54" s="1"/>
  <c r="BD54"/>
  <c r="BF54"/>
  <c r="BH54"/>
  <c r="AD54" s="1"/>
  <c r="BI54"/>
  <c r="AE54" s="1"/>
  <c r="BJ54"/>
  <c r="L56"/>
  <c r="Z56"/>
  <c r="AB56"/>
  <c r="AC56"/>
  <c r="AF56"/>
  <c r="AG56"/>
  <c r="AH56"/>
  <c r="AJ56"/>
  <c r="AK56"/>
  <c r="AL56"/>
  <c r="AO56"/>
  <c r="AW56" s="1"/>
  <c r="AP56"/>
  <c r="K56" s="1"/>
  <c r="BD56"/>
  <c r="BF56"/>
  <c r="BH56"/>
  <c r="AD56" s="1"/>
  <c r="BJ56"/>
  <c r="L58"/>
  <c r="Z58"/>
  <c r="AB58"/>
  <c r="AC58"/>
  <c r="AF58"/>
  <c r="AG58"/>
  <c r="AH58"/>
  <c r="AJ58"/>
  <c r="AK58"/>
  <c r="AL58"/>
  <c r="AO58"/>
  <c r="AW58" s="1"/>
  <c r="AP58"/>
  <c r="K58" s="1"/>
  <c r="BD58"/>
  <c r="BF58"/>
  <c r="BH58"/>
  <c r="AD58" s="1"/>
  <c r="BI58"/>
  <c r="AE58" s="1"/>
  <c r="BJ58"/>
  <c r="K60"/>
  <c r="L60"/>
  <c r="AB60"/>
  <c r="AC60"/>
  <c r="AD60"/>
  <c r="AE60"/>
  <c r="AF60"/>
  <c r="AG60"/>
  <c r="AH60"/>
  <c r="AJ60"/>
  <c r="AK60"/>
  <c r="AL60"/>
  <c r="AO60"/>
  <c r="AW60" s="1"/>
  <c r="AP60"/>
  <c r="AX60"/>
  <c r="BD60"/>
  <c r="BF60"/>
  <c r="BH60"/>
  <c r="BI60"/>
  <c r="BJ60"/>
  <c r="Z60" s="1"/>
  <c r="J62"/>
  <c r="K62"/>
  <c r="L62"/>
  <c r="Z62"/>
  <c r="AB62"/>
  <c r="AC62"/>
  <c r="AF62"/>
  <c r="AG62"/>
  <c r="AH62"/>
  <c r="AJ62"/>
  <c r="AK62"/>
  <c r="AO62"/>
  <c r="AP62"/>
  <c r="AW62"/>
  <c r="AV62" s="1"/>
  <c r="AX62"/>
  <c r="BD62"/>
  <c r="BF62"/>
  <c r="BH62"/>
  <c r="AD62" s="1"/>
  <c r="BI62"/>
  <c r="AE62" s="1"/>
  <c r="BJ62"/>
  <c r="L63"/>
  <c r="Z63"/>
  <c r="AB63"/>
  <c r="AC63"/>
  <c r="AF63"/>
  <c r="AG63"/>
  <c r="AH63"/>
  <c r="AJ63"/>
  <c r="AK63"/>
  <c r="AL63"/>
  <c r="AO63"/>
  <c r="AW63" s="1"/>
  <c r="AP63"/>
  <c r="AX63" s="1"/>
  <c r="BD63"/>
  <c r="BF63"/>
  <c r="BH63"/>
  <c r="AD63" s="1"/>
  <c r="BI63"/>
  <c r="AE63" s="1"/>
  <c r="BJ63"/>
  <c r="L64"/>
  <c r="Z64"/>
  <c r="AB64"/>
  <c r="AC64"/>
  <c r="AF64"/>
  <c r="AG64"/>
  <c r="AH64"/>
  <c r="AJ64"/>
  <c r="AK64"/>
  <c r="AL64"/>
  <c r="AO64"/>
  <c r="AW64" s="1"/>
  <c r="AP64"/>
  <c r="AX64" s="1"/>
  <c r="BD64"/>
  <c r="BF64"/>
  <c r="BI64"/>
  <c r="AE64" s="1"/>
  <c r="BJ64"/>
  <c r="L65"/>
  <c r="Z65"/>
  <c r="AB65"/>
  <c r="AC65"/>
  <c r="AF65"/>
  <c r="AG65"/>
  <c r="AH65"/>
  <c r="AJ65"/>
  <c r="AK65"/>
  <c r="AL65"/>
  <c r="AO65"/>
  <c r="J65" s="1"/>
  <c r="AP65"/>
  <c r="AX65" s="1"/>
  <c r="BD65"/>
  <c r="BF65"/>
  <c r="BH65"/>
  <c r="AD65" s="1"/>
  <c r="BI65"/>
  <c r="AE65" s="1"/>
  <c r="BJ65"/>
  <c r="L66"/>
  <c r="Z66"/>
  <c r="AB66"/>
  <c r="AC66"/>
  <c r="AF66"/>
  <c r="AG66"/>
  <c r="AH66"/>
  <c r="AJ66"/>
  <c r="AK66"/>
  <c r="AL66"/>
  <c r="AO66"/>
  <c r="J66" s="1"/>
  <c r="AP66"/>
  <c r="AX66" s="1"/>
  <c r="BD66"/>
  <c r="BF66"/>
  <c r="BH66"/>
  <c r="AD66" s="1"/>
  <c r="BI66"/>
  <c r="AE66" s="1"/>
  <c r="BJ66"/>
  <c r="L67"/>
  <c r="Z67"/>
  <c r="AB67"/>
  <c r="AC67"/>
  <c r="AF67"/>
  <c r="AG67"/>
  <c r="AH67"/>
  <c r="AJ67"/>
  <c r="AK67"/>
  <c r="AL67"/>
  <c r="AO67"/>
  <c r="AW67" s="1"/>
  <c r="AP67"/>
  <c r="AX67" s="1"/>
  <c r="BD67"/>
  <c r="BF67"/>
  <c r="BH67"/>
  <c r="AD67" s="1"/>
  <c r="BI67"/>
  <c r="AE67" s="1"/>
  <c r="BJ67"/>
  <c r="L68"/>
  <c r="AL68" s="1"/>
  <c r="Z68"/>
  <c r="AB68"/>
  <c r="AC68"/>
  <c r="AD68"/>
  <c r="AF68"/>
  <c r="AG68"/>
  <c r="AH68"/>
  <c r="AJ68"/>
  <c r="AK68"/>
  <c r="AO68"/>
  <c r="AW68" s="1"/>
  <c r="AP68"/>
  <c r="K68" s="1"/>
  <c r="AX68"/>
  <c r="BD68"/>
  <c r="BF68"/>
  <c r="BH68"/>
  <c r="BJ68"/>
  <c r="K69"/>
  <c r="L69"/>
  <c r="AL69" s="1"/>
  <c r="Z69"/>
  <c r="AB69"/>
  <c r="AC69"/>
  <c r="AF69"/>
  <c r="AG69"/>
  <c r="AH69"/>
  <c r="AJ69"/>
  <c r="AK69"/>
  <c r="AO69"/>
  <c r="AW69" s="1"/>
  <c r="AP69"/>
  <c r="AX69"/>
  <c r="BD69"/>
  <c r="BF69"/>
  <c r="BH69"/>
  <c r="AD69" s="1"/>
  <c r="BI69"/>
  <c r="AE69" s="1"/>
  <c r="BJ69"/>
  <c r="J70"/>
  <c r="L70"/>
  <c r="AL70" s="1"/>
  <c r="Z70"/>
  <c r="AB70"/>
  <c r="AC70"/>
  <c r="AF70"/>
  <c r="AG70"/>
  <c r="AH70"/>
  <c r="AJ70"/>
  <c r="AK70"/>
  <c r="AO70"/>
  <c r="AP70"/>
  <c r="K70" s="1"/>
  <c r="AW70"/>
  <c r="BD70"/>
  <c r="BF70"/>
  <c r="BH70"/>
  <c r="AD70" s="1"/>
  <c r="BI70"/>
  <c r="AE70" s="1"/>
  <c r="BJ70"/>
  <c r="L71"/>
  <c r="Z71"/>
  <c r="AB71"/>
  <c r="AC71"/>
  <c r="AF71"/>
  <c r="AG71"/>
  <c r="AH71"/>
  <c r="AJ71"/>
  <c r="AK71"/>
  <c r="AL71"/>
  <c r="AO71"/>
  <c r="AW71" s="1"/>
  <c r="AP71"/>
  <c r="AX71" s="1"/>
  <c r="BD71"/>
  <c r="BF71"/>
  <c r="BH71"/>
  <c r="AD71" s="1"/>
  <c r="BI71"/>
  <c r="AE71" s="1"/>
  <c r="BJ71"/>
  <c r="L72"/>
  <c r="Z72"/>
  <c r="AB72"/>
  <c r="AC72"/>
  <c r="AE72"/>
  <c r="AF72"/>
  <c r="AG72"/>
  <c r="AH72"/>
  <c r="AJ72"/>
  <c r="AK72"/>
  <c r="AL72"/>
  <c r="AO72"/>
  <c r="AW72" s="1"/>
  <c r="AP72"/>
  <c r="AX72" s="1"/>
  <c r="BD72"/>
  <c r="BF72"/>
  <c r="BH72"/>
  <c r="AD72" s="1"/>
  <c r="BI72"/>
  <c r="BJ72"/>
  <c r="L73"/>
  <c r="AL73" s="1"/>
  <c r="Z73"/>
  <c r="AB73"/>
  <c r="AC73"/>
  <c r="AD73"/>
  <c r="AF73"/>
  <c r="AG73"/>
  <c r="AH73"/>
  <c r="AJ73"/>
  <c r="AK73"/>
  <c r="AO73"/>
  <c r="AW73" s="1"/>
  <c r="AP73"/>
  <c r="K73" s="1"/>
  <c r="AX73"/>
  <c r="BD73"/>
  <c r="BF73"/>
  <c r="BH73"/>
  <c r="BJ73"/>
  <c r="K74"/>
  <c r="L74"/>
  <c r="AL74" s="1"/>
  <c r="Z74"/>
  <c r="AB74"/>
  <c r="AC74"/>
  <c r="AD74"/>
  <c r="AF74"/>
  <c r="AG74"/>
  <c r="AH74"/>
  <c r="AJ74"/>
  <c r="AK74"/>
  <c r="AO74"/>
  <c r="J74" s="1"/>
  <c r="AP74"/>
  <c r="AW74"/>
  <c r="AV74" s="1"/>
  <c r="AX74"/>
  <c r="BD74"/>
  <c r="BF74"/>
  <c r="BH74"/>
  <c r="BI74"/>
  <c r="AE74" s="1"/>
  <c r="BJ74"/>
  <c r="L75"/>
  <c r="Z75"/>
  <c r="AB75"/>
  <c r="AC75"/>
  <c r="AF75"/>
  <c r="AG75"/>
  <c r="AH75"/>
  <c r="AJ75"/>
  <c r="AK75"/>
  <c r="AL75"/>
  <c r="AO75"/>
  <c r="AW75" s="1"/>
  <c r="AP75"/>
  <c r="AX75" s="1"/>
  <c r="BD75"/>
  <c r="BF75"/>
  <c r="BH75"/>
  <c r="AD75" s="1"/>
  <c r="BI75"/>
  <c r="AE75" s="1"/>
  <c r="BJ75"/>
  <c r="L76"/>
  <c r="Z76"/>
  <c r="AB76"/>
  <c r="AC76"/>
  <c r="AF76"/>
  <c r="AG76"/>
  <c r="AH76"/>
  <c r="AJ76"/>
  <c r="AK76"/>
  <c r="AL76"/>
  <c r="AO76"/>
  <c r="AW76" s="1"/>
  <c r="AP76"/>
  <c r="AX76" s="1"/>
  <c r="BD76"/>
  <c r="BF76"/>
  <c r="BH76"/>
  <c r="AD76" s="1"/>
  <c r="BI76"/>
  <c r="AE76" s="1"/>
  <c r="BJ76"/>
  <c r="L77"/>
  <c r="Z77"/>
  <c r="AB77"/>
  <c r="AC77"/>
  <c r="AF77"/>
  <c r="AG77"/>
  <c r="AH77"/>
  <c r="AJ77"/>
  <c r="AK77"/>
  <c r="AL77"/>
  <c r="AO77"/>
  <c r="AW77" s="1"/>
  <c r="AP77"/>
  <c r="AX77" s="1"/>
  <c r="BD77"/>
  <c r="BF77"/>
  <c r="BH77"/>
  <c r="AD77" s="1"/>
  <c r="BI77"/>
  <c r="AE77" s="1"/>
  <c r="BJ77"/>
  <c r="L78"/>
  <c r="AL78" s="1"/>
  <c r="Z78"/>
  <c r="AB78"/>
  <c r="AC78"/>
  <c r="AD78"/>
  <c r="AE78"/>
  <c r="AF78"/>
  <c r="AG78"/>
  <c r="AH78"/>
  <c r="AJ78"/>
  <c r="AK78"/>
  <c r="AO78"/>
  <c r="AW78" s="1"/>
  <c r="AP78"/>
  <c r="K78" s="1"/>
  <c r="AX78"/>
  <c r="BD78"/>
  <c r="BF78"/>
  <c r="BI78"/>
  <c r="BJ78"/>
  <c r="L80"/>
  <c r="AL80" s="1"/>
  <c r="Z80"/>
  <c r="AB80"/>
  <c r="AC80"/>
  <c r="AF80"/>
  <c r="AG80"/>
  <c r="AH80"/>
  <c r="AJ80"/>
  <c r="AS79" s="1"/>
  <c r="AK80"/>
  <c r="AT79" s="1"/>
  <c r="AO80"/>
  <c r="AW80" s="1"/>
  <c r="AP80"/>
  <c r="K80" s="1"/>
  <c r="AX80"/>
  <c r="BD80"/>
  <c r="BF80"/>
  <c r="BH80"/>
  <c r="AD80" s="1"/>
  <c r="BI80"/>
  <c r="AE80" s="1"/>
  <c r="BJ80"/>
  <c r="L81"/>
  <c r="Z81"/>
  <c r="AB81"/>
  <c r="AC81"/>
  <c r="AF81"/>
  <c r="AG81"/>
  <c r="AH81"/>
  <c r="AJ81"/>
  <c r="AK81"/>
  <c r="AL81"/>
  <c r="AO81"/>
  <c r="BH81" s="1"/>
  <c r="AD81" s="1"/>
  <c r="AP81"/>
  <c r="AX81" s="1"/>
  <c r="BD81"/>
  <c r="BF81"/>
  <c r="BI81"/>
  <c r="AE81" s="1"/>
  <c r="BJ81"/>
  <c r="L82"/>
  <c r="Z82"/>
  <c r="AB82"/>
  <c r="AC82"/>
  <c r="AF82"/>
  <c r="AG82"/>
  <c r="AH82"/>
  <c r="AJ82"/>
  <c r="AK82"/>
  <c r="AL82"/>
  <c r="AO82"/>
  <c r="AW82" s="1"/>
  <c r="AP82"/>
  <c r="AX82" s="1"/>
  <c r="BD82"/>
  <c r="BF82"/>
  <c r="BH82"/>
  <c r="AD82" s="1"/>
  <c r="BJ82"/>
  <c r="L83"/>
  <c r="Z83"/>
  <c r="AB83"/>
  <c r="AC83"/>
  <c r="AF83"/>
  <c r="AG83"/>
  <c r="AH83"/>
  <c r="AJ83"/>
  <c r="AK83"/>
  <c r="AL83"/>
  <c r="AO83"/>
  <c r="AW83" s="1"/>
  <c r="AP83"/>
  <c r="AX83" s="1"/>
  <c r="BD83"/>
  <c r="BF83"/>
  <c r="BH83"/>
  <c r="AD83" s="1"/>
  <c r="BJ83"/>
  <c r="L84"/>
  <c r="Z84"/>
  <c r="AB84"/>
  <c r="AC84"/>
  <c r="AF84"/>
  <c r="AG84"/>
  <c r="AH84"/>
  <c r="AJ84"/>
  <c r="AK84"/>
  <c r="AL84"/>
  <c r="AO84"/>
  <c r="AW84" s="1"/>
  <c r="AP84"/>
  <c r="AX84" s="1"/>
  <c r="BD84"/>
  <c r="BF84"/>
  <c r="BH84"/>
  <c r="AD84" s="1"/>
  <c r="BI84"/>
  <c r="AE84" s="1"/>
  <c r="BJ84"/>
  <c r="K85"/>
  <c r="L85"/>
  <c r="AB85"/>
  <c r="AC85"/>
  <c r="AD85"/>
  <c r="AE85"/>
  <c r="AF85"/>
  <c r="AG85"/>
  <c r="AH85"/>
  <c r="AJ85"/>
  <c r="AK85"/>
  <c r="AL85"/>
  <c r="AO85"/>
  <c r="AW85" s="1"/>
  <c r="AP85"/>
  <c r="AX85"/>
  <c r="BD85"/>
  <c r="BF85"/>
  <c r="BH85"/>
  <c r="BI85"/>
  <c r="BJ85"/>
  <c r="Z85" s="1"/>
  <c r="L87"/>
  <c r="L86" s="1"/>
  <c r="L20" i="4" s="1"/>
  <c r="N20" s="1"/>
  <c r="Z87" i="5"/>
  <c r="AB87"/>
  <c r="AC87"/>
  <c r="AF87"/>
  <c r="AG87"/>
  <c r="AH87"/>
  <c r="AJ87"/>
  <c r="AS86" s="1"/>
  <c r="AK87"/>
  <c r="AT86" s="1"/>
  <c r="AO87"/>
  <c r="AW87" s="1"/>
  <c r="AP87"/>
  <c r="K87" s="1"/>
  <c r="K86" s="1"/>
  <c r="K20" i="4" s="1"/>
  <c r="AX87" i="5"/>
  <c r="BD87"/>
  <c r="BF87"/>
  <c r="BH87"/>
  <c r="AD87" s="1"/>
  <c r="BI87"/>
  <c r="AE87" s="1"/>
  <c r="BJ87"/>
  <c r="J89"/>
  <c r="L89"/>
  <c r="AL89" s="1"/>
  <c r="Z89"/>
  <c r="AB89"/>
  <c r="AC89"/>
  <c r="AF89"/>
  <c r="AG89"/>
  <c r="AH89"/>
  <c r="AJ89"/>
  <c r="AK89"/>
  <c r="AO89"/>
  <c r="AP89"/>
  <c r="AX89" s="1"/>
  <c r="AV89" s="1"/>
  <c r="AW89"/>
  <c r="BC89" s="1"/>
  <c r="BD89"/>
  <c r="BF89"/>
  <c r="BH89"/>
  <c r="AD89" s="1"/>
  <c r="BI89"/>
  <c r="AE89" s="1"/>
  <c r="BJ89"/>
  <c r="L90"/>
  <c r="AL90" s="1"/>
  <c r="Z90"/>
  <c r="AB90"/>
  <c r="AC90"/>
  <c r="AF90"/>
  <c r="AG90"/>
  <c r="AH90"/>
  <c r="AJ90"/>
  <c r="AK90"/>
  <c r="AO90"/>
  <c r="J90" s="1"/>
  <c r="AP90"/>
  <c r="AX90" s="1"/>
  <c r="BD90"/>
  <c r="BF90"/>
  <c r="BH90"/>
  <c r="AD90" s="1"/>
  <c r="BI90"/>
  <c r="AE90" s="1"/>
  <c r="BJ90"/>
  <c r="J91"/>
  <c r="L91"/>
  <c r="AL91" s="1"/>
  <c r="Z91"/>
  <c r="AB91"/>
  <c r="AC91"/>
  <c r="AF91"/>
  <c r="AG91"/>
  <c r="AH91"/>
  <c r="AJ91"/>
  <c r="AK91"/>
  <c r="AO91"/>
  <c r="AP91"/>
  <c r="AX91" s="1"/>
  <c r="AV91" s="1"/>
  <c r="AW91"/>
  <c r="BD91"/>
  <c r="BF91"/>
  <c r="BH91"/>
  <c r="AD91" s="1"/>
  <c r="BI91"/>
  <c r="AE91" s="1"/>
  <c r="BJ91"/>
  <c r="L92"/>
  <c r="Z92"/>
  <c r="AB92"/>
  <c r="AC92"/>
  <c r="AF92"/>
  <c r="AG92"/>
  <c r="AH92"/>
  <c r="AJ92"/>
  <c r="AK92"/>
  <c r="AL92"/>
  <c r="AO92"/>
  <c r="AW92" s="1"/>
  <c r="AP92"/>
  <c r="AX92" s="1"/>
  <c r="BD92"/>
  <c r="BF92"/>
  <c r="BH92"/>
  <c r="AD92" s="1"/>
  <c r="BI92"/>
  <c r="AE92" s="1"/>
  <c r="BJ92"/>
  <c r="K93"/>
  <c r="L93"/>
  <c r="Z93"/>
  <c r="AB93"/>
  <c r="AC93"/>
  <c r="AF93"/>
  <c r="AG93"/>
  <c r="AH93"/>
  <c r="AJ93"/>
  <c r="AK93"/>
  <c r="AL93"/>
  <c r="AO93"/>
  <c r="AW93" s="1"/>
  <c r="AP93"/>
  <c r="AX93" s="1"/>
  <c r="BD93"/>
  <c r="BF93"/>
  <c r="BH93"/>
  <c r="AD93" s="1"/>
  <c r="BI93"/>
  <c r="AE93" s="1"/>
  <c r="BJ93"/>
  <c r="L94"/>
  <c r="AL94" s="1"/>
  <c r="Z94"/>
  <c r="AB94"/>
  <c r="AC94"/>
  <c r="AF94"/>
  <c r="AG94"/>
  <c r="AH94"/>
  <c r="AJ94"/>
  <c r="AK94"/>
  <c r="AO94"/>
  <c r="AW94" s="1"/>
  <c r="AP94"/>
  <c r="K94" s="1"/>
  <c r="AX94"/>
  <c r="BD94"/>
  <c r="BF94"/>
  <c r="BH94"/>
  <c r="AD94" s="1"/>
  <c r="BI94"/>
  <c r="AE94" s="1"/>
  <c r="BJ94"/>
  <c r="J95"/>
  <c r="K95"/>
  <c r="L95"/>
  <c r="AL95" s="1"/>
  <c r="Z95"/>
  <c r="AB95"/>
  <c r="AC95"/>
  <c r="AF95"/>
  <c r="AG95"/>
  <c r="AH95"/>
  <c r="AJ95"/>
  <c r="AK95"/>
  <c r="AO95"/>
  <c r="AP95"/>
  <c r="AW95"/>
  <c r="AV95" s="1"/>
  <c r="AX95"/>
  <c r="BD95"/>
  <c r="BF95"/>
  <c r="BH95"/>
  <c r="AD95" s="1"/>
  <c r="BI95"/>
  <c r="AE95" s="1"/>
  <c r="BJ95"/>
  <c r="L96"/>
  <c r="Z96"/>
  <c r="AB96"/>
  <c r="AC96"/>
  <c r="AF96"/>
  <c r="AG96"/>
  <c r="AH96"/>
  <c r="AJ96"/>
  <c r="AK96"/>
  <c r="AL96"/>
  <c r="AO96"/>
  <c r="AW96" s="1"/>
  <c r="AP96"/>
  <c r="AX96" s="1"/>
  <c r="BD96"/>
  <c r="BF96"/>
  <c r="BH96"/>
  <c r="AD96" s="1"/>
  <c r="BI96"/>
  <c r="AE96" s="1"/>
  <c r="BJ96"/>
  <c r="L97"/>
  <c r="Z97"/>
  <c r="AB97"/>
  <c r="AC97"/>
  <c r="AF97"/>
  <c r="AG97"/>
  <c r="AH97"/>
  <c r="AJ97"/>
  <c r="AK97"/>
  <c r="AL97"/>
  <c r="AO97"/>
  <c r="AW97" s="1"/>
  <c r="AP97"/>
  <c r="AX97" s="1"/>
  <c r="BD97"/>
  <c r="BF97"/>
  <c r="BH97"/>
  <c r="AD97" s="1"/>
  <c r="BI97"/>
  <c r="AE97" s="1"/>
  <c r="BJ97"/>
  <c r="L98"/>
  <c r="AL98" s="1"/>
  <c r="Z98"/>
  <c r="AB98"/>
  <c r="AC98"/>
  <c r="AF98"/>
  <c r="AG98"/>
  <c r="AH98"/>
  <c r="AJ98"/>
  <c r="AK98"/>
  <c r="AO98"/>
  <c r="AW98" s="1"/>
  <c r="AP98"/>
  <c r="K98" s="1"/>
  <c r="AX98"/>
  <c r="BD98"/>
  <c r="BF98"/>
  <c r="BH98"/>
  <c r="AD98" s="1"/>
  <c r="BI98"/>
  <c r="AE98" s="1"/>
  <c r="BJ98"/>
  <c r="K99"/>
  <c r="L99"/>
  <c r="AL99" s="1"/>
  <c r="Z99"/>
  <c r="AB99"/>
  <c r="AC99"/>
  <c r="AD99"/>
  <c r="AE99"/>
  <c r="AF99"/>
  <c r="AG99"/>
  <c r="AH99"/>
  <c r="AJ99"/>
  <c r="AK99"/>
  <c r="AO99"/>
  <c r="J99" s="1"/>
  <c r="AP99"/>
  <c r="AW99"/>
  <c r="AV99" s="1"/>
  <c r="AX99"/>
  <c r="BC99" s="1"/>
  <c r="BD99"/>
  <c r="BF99"/>
  <c r="BH99"/>
  <c r="BI99"/>
  <c r="BJ99"/>
  <c r="J101"/>
  <c r="L101"/>
  <c r="AL101" s="1"/>
  <c r="Z101"/>
  <c r="AD101"/>
  <c r="AE101"/>
  <c r="AF101"/>
  <c r="AG101"/>
  <c r="AH101"/>
  <c r="AJ101"/>
  <c r="AK101"/>
  <c r="AO101"/>
  <c r="AP101"/>
  <c r="AX101" s="1"/>
  <c r="AW101"/>
  <c r="BD101"/>
  <c r="BF101"/>
  <c r="BH101"/>
  <c r="AB101" s="1"/>
  <c r="BI101"/>
  <c r="AC101" s="1"/>
  <c r="BJ101"/>
  <c r="J102"/>
  <c r="L102"/>
  <c r="AL102" s="1"/>
  <c r="Z102"/>
  <c r="AD102"/>
  <c r="AE102"/>
  <c r="AF102"/>
  <c r="AG102"/>
  <c r="AH102"/>
  <c r="AJ102"/>
  <c r="AK102"/>
  <c r="AO102"/>
  <c r="AP102"/>
  <c r="K102" s="1"/>
  <c r="AW102"/>
  <c r="BD102"/>
  <c r="BF102"/>
  <c r="BH102"/>
  <c r="AB102" s="1"/>
  <c r="BI102"/>
  <c r="AC102" s="1"/>
  <c r="BJ102"/>
  <c r="J104"/>
  <c r="L104"/>
  <c r="AL104" s="1"/>
  <c r="Z104"/>
  <c r="AB104"/>
  <c r="AD104"/>
  <c r="AE104"/>
  <c r="AF104"/>
  <c r="AG104"/>
  <c r="AH104"/>
  <c r="AJ104"/>
  <c r="AK104"/>
  <c r="AO104"/>
  <c r="AP104"/>
  <c r="K104" s="1"/>
  <c r="AW104"/>
  <c r="BD104"/>
  <c r="BF104"/>
  <c r="BH104"/>
  <c r="BI104"/>
  <c r="AC104" s="1"/>
  <c r="BJ104"/>
  <c r="K105"/>
  <c r="L105"/>
  <c r="Z105"/>
  <c r="AB105"/>
  <c r="AC105"/>
  <c r="AD105"/>
  <c r="AE105"/>
  <c r="AF105"/>
  <c r="AG105"/>
  <c r="AH105"/>
  <c r="AJ105"/>
  <c r="AK105"/>
  <c r="AL105"/>
  <c r="AO105"/>
  <c r="J105" s="1"/>
  <c r="AP105"/>
  <c r="AX105" s="1"/>
  <c r="BD105"/>
  <c r="BF105"/>
  <c r="BH105"/>
  <c r="BI105"/>
  <c r="BJ105"/>
  <c r="J106"/>
  <c r="K106"/>
  <c r="L106"/>
  <c r="AL106" s="1"/>
  <c r="Z106"/>
  <c r="AB106"/>
  <c r="AC106"/>
  <c r="AD106"/>
  <c r="AE106"/>
  <c r="AF106"/>
  <c r="AG106"/>
  <c r="AH106"/>
  <c r="AJ106"/>
  <c r="AK106"/>
  <c r="AO106"/>
  <c r="AP106"/>
  <c r="AV106"/>
  <c r="AW106"/>
  <c r="BC106" s="1"/>
  <c r="AX106"/>
  <c r="BD106"/>
  <c r="BF106"/>
  <c r="BH106"/>
  <c r="BI106"/>
  <c r="BJ106"/>
  <c r="K107"/>
  <c r="L107"/>
  <c r="AL107" s="1"/>
  <c r="Z107"/>
  <c r="AC107"/>
  <c r="AD107"/>
  <c r="AE107"/>
  <c r="AF107"/>
  <c r="AG107"/>
  <c r="AH107"/>
  <c r="AJ107"/>
  <c r="AK107"/>
  <c r="AO107"/>
  <c r="J107" s="1"/>
  <c r="AP107"/>
  <c r="AW107"/>
  <c r="AV107" s="1"/>
  <c r="AX107"/>
  <c r="BD107"/>
  <c r="BF107"/>
  <c r="BH107"/>
  <c r="AB107" s="1"/>
  <c r="BI107"/>
  <c r="BJ107"/>
  <c r="L108"/>
  <c r="AB108"/>
  <c r="AC108"/>
  <c r="AD108"/>
  <c r="AE108"/>
  <c r="AF108"/>
  <c r="AG108"/>
  <c r="AH108"/>
  <c r="AJ108"/>
  <c r="AK108"/>
  <c r="AL108"/>
  <c r="AO108"/>
  <c r="AW108" s="1"/>
  <c r="AP108"/>
  <c r="K108" s="1"/>
  <c r="BD108"/>
  <c r="BF108"/>
  <c r="BH108"/>
  <c r="BI108"/>
  <c r="BJ108"/>
  <c r="Z108" s="1"/>
  <c r="AS109"/>
  <c r="AT109"/>
  <c r="L110"/>
  <c r="L109" s="1"/>
  <c r="L23" i="4" s="1"/>
  <c r="N23" s="1"/>
  <c r="Z110" i="5"/>
  <c r="AC110"/>
  <c r="AD110"/>
  <c r="AE110"/>
  <c r="AF110"/>
  <c r="AG110"/>
  <c r="AH110"/>
  <c r="AJ110"/>
  <c r="AK110"/>
  <c r="AL110"/>
  <c r="AU109" s="1"/>
  <c r="AO110"/>
  <c r="BH110" s="1"/>
  <c r="AB110" s="1"/>
  <c r="AP110"/>
  <c r="AX110" s="1"/>
  <c r="BD110"/>
  <c r="BF110"/>
  <c r="BI110"/>
  <c r="BJ110"/>
  <c r="L112"/>
  <c r="Z112"/>
  <c r="AD112"/>
  <c r="AE112"/>
  <c r="AF112"/>
  <c r="AG112"/>
  <c r="AH112"/>
  <c r="AJ112"/>
  <c r="AK112"/>
  <c r="AL112"/>
  <c r="AO112"/>
  <c r="J112" s="1"/>
  <c r="AP112"/>
  <c r="K112" s="1"/>
  <c r="BD112"/>
  <c r="BF112"/>
  <c r="BH112"/>
  <c r="AB112" s="1"/>
  <c r="BI112"/>
  <c r="AC112" s="1"/>
  <c r="BJ112"/>
  <c r="L113"/>
  <c r="Z113"/>
  <c r="AB113"/>
  <c r="AC113"/>
  <c r="AD113"/>
  <c r="AE113"/>
  <c r="AF113"/>
  <c r="AG113"/>
  <c r="AH113"/>
  <c r="AJ113"/>
  <c r="AS111" s="1"/>
  <c r="AK113"/>
  <c r="AT111" s="1"/>
  <c r="AL113"/>
  <c r="AU111" s="1"/>
  <c r="AO113"/>
  <c r="AW113" s="1"/>
  <c r="AP113"/>
  <c r="K113" s="1"/>
  <c r="AX113"/>
  <c r="BD113"/>
  <c r="BF113"/>
  <c r="BH113"/>
  <c r="BI113"/>
  <c r="BJ113"/>
  <c r="L115"/>
  <c r="Z115"/>
  <c r="AB115"/>
  <c r="AC115"/>
  <c r="AD115"/>
  <c r="AE115"/>
  <c r="AF115"/>
  <c r="AG115"/>
  <c r="AH115"/>
  <c r="AJ115"/>
  <c r="AK115"/>
  <c r="AL115"/>
  <c r="AO115"/>
  <c r="AW115" s="1"/>
  <c r="AP115"/>
  <c r="AX115" s="1"/>
  <c r="BD115"/>
  <c r="BF115"/>
  <c r="BH115"/>
  <c r="BI115"/>
  <c r="BJ115"/>
  <c r="K116"/>
  <c r="L116"/>
  <c r="AL116" s="1"/>
  <c r="Z116"/>
  <c r="AB116"/>
  <c r="AC116"/>
  <c r="AD116"/>
  <c r="AE116"/>
  <c r="AF116"/>
  <c r="AG116"/>
  <c r="AH116"/>
  <c r="AJ116"/>
  <c r="AS114" s="1"/>
  <c r="AK116"/>
  <c r="AO116"/>
  <c r="J116" s="1"/>
  <c r="AP116"/>
  <c r="AW116"/>
  <c r="AV116" s="1"/>
  <c r="AX116"/>
  <c r="BC116" s="1"/>
  <c r="BD116"/>
  <c r="BF116"/>
  <c r="BH116"/>
  <c r="BI116"/>
  <c r="BJ116"/>
  <c r="K118"/>
  <c r="L118"/>
  <c r="AL118" s="1"/>
  <c r="Z118"/>
  <c r="AB118"/>
  <c r="AC118"/>
  <c r="AD118"/>
  <c r="AE118"/>
  <c r="AG118"/>
  <c r="AH118"/>
  <c r="AJ118"/>
  <c r="AS117" s="1"/>
  <c r="AK118"/>
  <c r="AO118"/>
  <c r="J118" s="1"/>
  <c r="AP118"/>
  <c r="AW118"/>
  <c r="AV118" s="1"/>
  <c r="AX118"/>
  <c r="BD118"/>
  <c r="BF118"/>
  <c r="BH118"/>
  <c r="AF118" s="1"/>
  <c r="BI118"/>
  <c r="BJ118"/>
  <c r="L119"/>
  <c r="Z119"/>
  <c r="AB119"/>
  <c r="AC119"/>
  <c r="AD119"/>
  <c r="AE119"/>
  <c r="AH119"/>
  <c r="AJ119"/>
  <c r="AK119"/>
  <c r="AL119"/>
  <c r="AO119"/>
  <c r="J119" s="1"/>
  <c r="AP119"/>
  <c r="AX119" s="1"/>
  <c r="BD119"/>
  <c r="BF119"/>
  <c r="BH119"/>
  <c r="AF119" s="1"/>
  <c r="BI119"/>
  <c r="AG119" s="1"/>
  <c r="BJ119"/>
  <c r="L120"/>
  <c r="Z120"/>
  <c r="AB120"/>
  <c r="AC120"/>
  <c r="AD120"/>
  <c r="AE120"/>
  <c r="AF120"/>
  <c r="AG120"/>
  <c r="AH120"/>
  <c r="AJ120"/>
  <c r="AK120"/>
  <c r="AL120"/>
  <c r="AO120"/>
  <c r="J120" s="1"/>
  <c r="AP120"/>
  <c r="AX120" s="1"/>
  <c r="BD120"/>
  <c r="BF120"/>
  <c r="BH120"/>
  <c r="BI120"/>
  <c r="BJ120"/>
  <c r="L122"/>
  <c r="Z122"/>
  <c r="AB122"/>
  <c r="AC122"/>
  <c r="AD122"/>
  <c r="AE122"/>
  <c r="AF122"/>
  <c r="AG122"/>
  <c r="AH122"/>
  <c r="AJ122"/>
  <c r="AK122"/>
  <c r="AL122"/>
  <c r="AO122"/>
  <c r="AW122" s="1"/>
  <c r="AP122"/>
  <c r="AX122" s="1"/>
  <c r="BD122"/>
  <c r="BF122"/>
  <c r="BH122"/>
  <c r="BJ122"/>
  <c r="K123"/>
  <c r="L123"/>
  <c r="Z123"/>
  <c r="AB123"/>
  <c r="AC123"/>
  <c r="AD123"/>
  <c r="AE123"/>
  <c r="AF123"/>
  <c r="AG123"/>
  <c r="AH123"/>
  <c r="AJ123"/>
  <c r="AK123"/>
  <c r="AO123"/>
  <c r="J123" s="1"/>
  <c r="AP123"/>
  <c r="AW123"/>
  <c r="AV123" s="1"/>
  <c r="AX123"/>
  <c r="BD123"/>
  <c r="BF123"/>
  <c r="BH123"/>
  <c r="BI123"/>
  <c r="BJ123"/>
  <c r="L124"/>
  <c r="AB124"/>
  <c r="AC124"/>
  <c r="AD124"/>
  <c r="AE124"/>
  <c r="AF124"/>
  <c r="AG124"/>
  <c r="AH124"/>
  <c r="AJ124"/>
  <c r="AK124"/>
  <c r="AL124"/>
  <c r="AO124"/>
  <c r="J124" s="1"/>
  <c r="AP124"/>
  <c r="AX124" s="1"/>
  <c r="BD124"/>
  <c r="BF124"/>
  <c r="BI124"/>
  <c r="BJ124"/>
  <c r="Z124" s="1"/>
  <c r="L125"/>
  <c r="AB125"/>
  <c r="AC125"/>
  <c r="AD125"/>
  <c r="AE125"/>
  <c r="AF125"/>
  <c r="AG125"/>
  <c r="AH125"/>
  <c r="AJ125"/>
  <c r="AK125"/>
  <c r="AL125"/>
  <c r="AO125"/>
  <c r="BH125" s="1"/>
  <c r="AP125"/>
  <c r="AX125" s="1"/>
  <c r="BD125"/>
  <c r="BF125"/>
  <c r="BI125"/>
  <c r="BJ125"/>
  <c r="Z125" s="1"/>
  <c r="L126"/>
  <c r="Z126"/>
  <c r="AB126"/>
  <c r="AC126"/>
  <c r="AD126"/>
  <c r="AE126"/>
  <c r="AF126"/>
  <c r="AG126"/>
  <c r="AH126"/>
  <c r="AJ126"/>
  <c r="AK126"/>
  <c r="AL126"/>
  <c r="AO126"/>
  <c r="AW126" s="1"/>
  <c r="AP126"/>
  <c r="AX126" s="1"/>
  <c r="BD126"/>
  <c r="BF126"/>
  <c r="BI126"/>
  <c r="BJ126"/>
  <c r="J127"/>
  <c r="K127"/>
  <c r="L127"/>
  <c r="AL127" s="1"/>
  <c r="AB127"/>
  <c r="AC127"/>
  <c r="AD127"/>
  <c r="AE127"/>
  <c r="AF127"/>
  <c r="AG127"/>
  <c r="AH127"/>
  <c r="AJ127"/>
  <c r="AK127"/>
  <c r="AO127"/>
  <c r="AP127"/>
  <c r="AV127"/>
  <c r="AW127"/>
  <c r="BC127" s="1"/>
  <c r="AX127"/>
  <c r="BD127"/>
  <c r="BF127"/>
  <c r="BH127"/>
  <c r="BI127"/>
  <c r="BJ127"/>
  <c r="Z127" s="1"/>
  <c r="L130"/>
  <c r="AL130" s="1"/>
  <c r="Z130"/>
  <c r="AB130"/>
  <c r="AC130"/>
  <c r="AF130"/>
  <c r="AG130"/>
  <c r="AH130"/>
  <c r="AJ130"/>
  <c r="AK130"/>
  <c r="AO130"/>
  <c r="AW130" s="1"/>
  <c r="AP130"/>
  <c r="K130" s="1"/>
  <c r="AX130"/>
  <c r="BD130"/>
  <c r="BF130"/>
  <c r="BH130"/>
  <c r="AD130" s="1"/>
  <c r="BI130"/>
  <c r="AE130" s="1"/>
  <c r="BJ130"/>
  <c r="L131"/>
  <c r="Z131"/>
  <c r="AB131"/>
  <c r="AC131"/>
  <c r="AF131"/>
  <c r="AG131"/>
  <c r="AH131"/>
  <c r="AJ131"/>
  <c r="AK131"/>
  <c r="AL131"/>
  <c r="AO131"/>
  <c r="AW131" s="1"/>
  <c r="AP131"/>
  <c r="K131" s="1"/>
  <c r="AX131"/>
  <c r="BD131"/>
  <c r="BF131"/>
  <c r="BH131"/>
  <c r="AD131" s="1"/>
  <c r="BI131"/>
  <c r="AE131" s="1"/>
  <c r="BJ131"/>
  <c r="J132"/>
  <c r="K132"/>
  <c r="L132"/>
  <c r="AL132" s="1"/>
  <c r="Z132"/>
  <c r="AB132"/>
  <c r="AC132"/>
  <c r="AF132"/>
  <c r="AG132"/>
  <c r="AH132"/>
  <c r="AJ132"/>
  <c r="AK132"/>
  <c r="AO132"/>
  <c r="AP132"/>
  <c r="AW132"/>
  <c r="AV132" s="1"/>
  <c r="AX132"/>
  <c r="BD132"/>
  <c r="BF132"/>
  <c r="BH132"/>
  <c r="AD132" s="1"/>
  <c r="BI132"/>
  <c r="AE132" s="1"/>
  <c r="BJ132"/>
  <c r="L133"/>
  <c r="Z133"/>
  <c r="AB133"/>
  <c r="AC133"/>
  <c r="AF133"/>
  <c r="AG133"/>
  <c r="AH133"/>
  <c r="AJ133"/>
  <c r="AK133"/>
  <c r="AL133"/>
  <c r="AO133"/>
  <c r="AW133" s="1"/>
  <c r="AP133"/>
  <c r="K133" s="1"/>
  <c r="BD133"/>
  <c r="BF133"/>
  <c r="BH133"/>
  <c r="AD133" s="1"/>
  <c r="BI133"/>
  <c r="AE133" s="1"/>
  <c r="BJ133"/>
  <c r="L134"/>
  <c r="Z134"/>
  <c r="AB134"/>
  <c r="AC134"/>
  <c r="AF134"/>
  <c r="AG134"/>
  <c r="AH134"/>
  <c r="AJ134"/>
  <c r="AK134"/>
  <c r="AL134"/>
  <c r="AO134"/>
  <c r="J134" s="1"/>
  <c r="AP134"/>
  <c r="AX134" s="1"/>
  <c r="BD134"/>
  <c r="BF134"/>
  <c r="BI134"/>
  <c r="AE134" s="1"/>
  <c r="BJ134"/>
  <c r="L135"/>
  <c r="Z135"/>
  <c r="AB135"/>
  <c r="AC135"/>
  <c r="AF135"/>
  <c r="AG135"/>
  <c r="AH135"/>
  <c r="AJ135"/>
  <c r="AK135"/>
  <c r="AL135"/>
  <c r="AO135"/>
  <c r="J135" s="1"/>
  <c r="AP135"/>
  <c r="AX135" s="1"/>
  <c r="BD135"/>
  <c r="BF135"/>
  <c r="BH135"/>
  <c r="AD135" s="1"/>
  <c r="BI135"/>
  <c r="AE135" s="1"/>
  <c r="BJ135"/>
  <c r="L136"/>
  <c r="Z136"/>
  <c r="AB136"/>
  <c r="AC136"/>
  <c r="AF136"/>
  <c r="AG136"/>
  <c r="AH136"/>
  <c r="AJ136"/>
  <c r="AK136"/>
  <c r="AL136"/>
  <c r="AO136"/>
  <c r="AW136" s="1"/>
  <c r="AP136"/>
  <c r="AX136" s="1"/>
  <c r="BD136"/>
  <c r="BF136"/>
  <c r="BH136"/>
  <c r="AD136" s="1"/>
  <c r="BI136"/>
  <c r="AE136" s="1"/>
  <c r="BJ136"/>
  <c r="K137"/>
  <c r="L137"/>
  <c r="AL137" s="1"/>
  <c r="Z137"/>
  <c r="AB137"/>
  <c r="AC137"/>
  <c r="AF137"/>
  <c r="AG137"/>
  <c r="AH137"/>
  <c r="AJ137"/>
  <c r="AK137"/>
  <c r="AO137"/>
  <c r="AW137" s="1"/>
  <c r="AP137"/>
  <c r="AX137"/>
  <c r="BD137"/>
  <c r="BF137"/>
  <c r="BH137"/>
  <c r="AD137" s="1"/>
  <c r="BI137"/>
  <c r="AE137" s="1"/>
  <c r="BJ137"/>
  <c r="J138"/>
  <c r="K138"/>
  <c r="L138"/>
  <c r="AL138" s="1"/>
  <c r="Z138"/>
  <c r="AB138"/>
  <c r="AC138"/>
  <c r="AF138"/>
  <c r="AG138"/>
  <c r="AH138"/>
  <c r="AJ138"/>
  <c r="AK138"/>
  <c r="AO138"/>
  <c r="AP138"/>
  <c r="AV138"/>
  <c r="AW138"/>
  <c r="BC138" s="1"/>
  <c r="AX138"/>
  <c r="BD138"/>
  <c r="BF138"/>
  <c r="BH138"/>
  <c r="AD138" s="1"/>
  <c r="BI138"/>
  <c r="AE138" s="1"/>
  <c r="BJ138"/>
  <c r="L139"/>
  <c r="Z139"/>
  <c r="AB139"/>
  <c r="AC139"/>
  <c r="AF139"/>
  <c r="AG139"/>
  <c r="AH139"/>
  <c r="AJ139"/>
  <c r="AK139"/>
  <c r="AL139"/>
  <c r="AO139"/>
  <c r="AW139" s="1"/>
  <c r="AP139"/>
  <c r="K139" s="1"/>
  <c r="AX139"/>
  <c r="BD139"/>
  <c r="BF139"/>
  <c r="BH139"/>
  <c r="AD139" s="1"/>
  <c r="BI139"/>
  <c r="AE139" s="1"/>
  <c r="BJ139"/>
  <c r="J140"/>
  <c r="K140"/>
  <c r="L140"/>
  <c r="AL140" s="1"/>
  <c r="Z140"/>
  <c r="AB140"/>
  <c r="AC140"/>
  <c r="AF140"/>
  <c r="AG140"/>
  <c r="AH140"/>
  <c r="AJ140"/>
  <c r="AK140"/>
  <c r="AO140"/>
  <c r="AP140"/>
  <c r="AV140"/>
  <c r="AW140"/>
  <c r="BC140" s="1"/>
  <c r="AX140"/>
  <c r="BD140"/>
  <c r="BF140"/>
  <c r="BH140"/>
  <c r="AD140" s="1"/>
  <c r="BI140"/>
  <c r="AE140" s="1"/>
  <c r="BJ140"/>
  <c r="L141"/>
  <c r="Z141"/>
  <c r="AB141"/>
  <c r="AC141"/>
  <c r="AD141"/>
  <c r="AE141"/>
  <c r="AF141"/>
  <c r="AG141"/>
  <c r="AH141"/>
  <c r="AJ141"/>
  <c r="AK141"/>
  <c r="AL141"/>
  <c r="AO141"/>
  <c r="J141" s="1"/>
  <c r="AP141"/>
  <c r="AX141" s="1"/>
  <c r="BD141"/>
  <c r="BF141"/>
  <c r="BH141"/>
  <c r="BJ141"/>
  <c r="L142"/>
  <c r="L30" i="4" s="1"/>
  <c r="N30" s="1"/>
  <c r="AS142" i="5"/>
  <c r="L143"/>
  <c r="Z143"/>
  <c r="AB143"/>
  <c r="AD143"/>
  <c r="AE143"/>
  <c r="AF143"/>
  <c r="AG143"/>
  <c r="AH143"/>
  <c r="AJ143"/>
  <c r="AK143"/>
  <c r="AT142" s="1"/>
  <c r="AL143"/>
  <c r="AU142" s="1"/>
  <c r="AO143"/>
  <c r="AW143" s="1"/>
  <c r="AP143"/>
  <c r="AX143" s="1"/>
  <c r="BD143"/>
  <c r="BF143"/>
  <c r="BH143"/>
  <c r="BJ143"/>
  <c r="L145"/>
  <c r="AB145"/>
  <c r="AC145"/>
  <c r="AD145"/>
  <c r="AE145"/>
  <c r="AF145"/>
  <c r="AG145"/>
  <c r="AH145"/>
  <c r="AJ145"/>
  <c r="AK145"/>
  <c r="AL145"/>
  <c r="AO145"/>
  <c r="J145" s="1"/>
  <c r="AP145"/>
  <c r="AX145" s="1"/>
  <c r="BD145"/>
  <c r="BF145"/>
  <c r="BH145"/>
  <c r="BI145"/>
  <c r="BJ145"/>
  <c r="Z145" s="1"/>
  <c r="L146"/>
  <c r="Z146"/>
  <c r="AB146"/>
  <c r="AC146"/>
  <c r="AD146"/>
  <c r="AE146"/>
  <c r="AF146"/>
  <c r="AG146"/>
  <c r="AH146"/>
  <c r="AJ146"/>
  <c r="AK146"/>
  <c r="AL146"/>
  <c r="AO146"/>
  <c r="AW146" s="1"/>
  <c r="AP146"/>
  <c r="AX146" s="1"/>
  <c r="BD146"/>
  <c r="BF146"/>
  <c r="BH146"/>
  <c r="BI146"/>
  <c r="BJ146"/>
  <c r="L147"/>
  <c r="Z147"/>
  <c r="AB147"/>
  <c r="AC147"/>
  <c r="AD147"/>
  <c r="AE147"/>
  <c r="AF147"/>
  <c r="AG147"/>
  <c r="AH147"/>
  <c r="AJ147"/>
  <c r="AK147"/>
  <c r="AL147"/>
  <c r="AO147"/>
  <c r="AW147" s="1"/>
  <c r="AP147"/>
  <c r="K147" s="1"/>
  <c r="AX147"/>
  <c r="BD147"/>
  <c r="BF147"/>
  <c r="BH147"/>
  <c r="BI147"/>
  <c r="BJ147"/>
  <c r="J148"/>
  <c r="K148"/>
  <c r="L148"/>
  <c r="AL148" s="1"/>
  <c r="AB148"/>
  <c r="AC148"/>
  <c r="AD148"/>
  <c r="AE148"/>
  <c r="AF148"/>
  <c r="AG148"/>
  <c r="AH148"/>
  <c r="AJ148"/>
  <c r="AK148"/>
  <c r="AO148"/>
  <c r="AP148"/>
  <c r="AV148"/>
  <c r="AW148"/>
  <c r="BC148" s="1"/>
  <c r="AX148"/>
  <c r="BD148"/>
  <c r="BF148"/>
  <c r="BH148"/>
  <c r="BI148"/>
  <c r="BJ148"/>
  <c r="Z148" s="1"/>
  <c r="K149"/>
  <c r="L149"/>
  <c r="AL149" s="1"/>
  <c r="Z149"/>
  <c r="AB149"/>
  <c r="AC149"/>
  <c r="AD149"/>
  <c r="AE149"/>
  <c r="AF149"/>
  <c r="AG149"/>
  <c r="AH149"/>
  <c r="AJ149"/>
  <c r="AK149"/>
  <c r="AO149"/>
  <c r="J149" s="1"/>
  <c r="AP149"/>
  <c r="AW149"/>
  <c r="AV149" s="1"/>
  <c r="AX149"/>
  <c r="BC149" s="1"/>
  <c r="BD149"/>
  <c r="BF149"/>
  <c r="BH149"/>
  <c r="BI149"/>
  <c r="BJ149"/>
  <c r="L150"/>
  <c r="AB150"/>
  <c r="AC150"/>
  <c r="AD150"/>
  <c r="AE150"/>
  <c r="AF150"/>
  <c r="AG150"/>
  <c r="AH150"/>
  <c r="AJ150"/>
  <c r="AK150"/>
  <c r="AL150"/>
  <c r="AO150"/>
  <c r="AW150" s="1"/>
  <c r="AP150"/>
  <c r="AX150" s="1"/>
  <c r="BD150"/>
  <c r="BF150"/>
  <c r="BH150"/>
  <c r="BI150"/>
  <c r="BJ150"/>
  <c r="Z150" s="1"/>
  <c r="AT151"/>
  <c r="L152"/>
  <c r="Z152"/>
  <c r="AB152"/>
  <c r="AC152"/>
  <c r="AF152"/>
  <c r="AG152"/>
  <c r="AH152"/>
  <c r="AJ152"/>
  <c r="AK152"/>
  <c r="AL152"/>
  <c r="AO152"/>
  <c r="AW152" s="1"/>
  <c r="AP152"/>
  <c r="K152" s="1"/>
  <c r="BD152"/>
  <c r="BF152"/>
  <c r="BH152"/>
  <c r="AD152" s="1"/>
  <c r="BI152"/>
  <c r="AE152" s="1"/>
  <c r="BJ152"/>
  <c r="L153"/>
  <c r="L151" s="1"/>
  <c r="L32" i="4" s="1"/>
  <c r="N32" s="1"/>
  <c r="Z153" i="5"/>
  <c r="AB153"/>
  <c r="AC153"/>
  <c r="AF153"/>
  <c r="AG153"/>
  <c r="AH153"/>
  <c r="AJ153"/>
  <c r="AK153"/>
  <c r="AL153"/>
  <c r="AO153"/>
  <c r="AW153" s="1"/>
  <c r="AP153"/>
  <c r="AX153" s="1"/>
  <c r="BD153"/>
  <c r="BF153"/>
  <c r="BI153"/>
  <c r="AE153" s="1"/>
  <c r="BJ153"/>
  <c r="L154"/>
  <c r="AL154" s="1"/>
  <c r="AB154"/>
  <c r="AC154"/>
  <c r="AD154"/>
  <c r="AE154"/>
  <c r="AF154"/>
  <c r="AG154"/>
  <c r="AH154"/>
  <c r="AJ154"/>
  <c r="AS151" s="1"/>
  <c r="AK154"/>
  <c r="AO154"/>
  <c r="AW154" s="1"/>
  <c r="AP154"/>
  <c r="AX154" s="1"/>
  <c r="BD154"/>
  <c r="BF154"/>
  <c r="BH154"/>
  <c r="BI154"/>
  <c r="BJ154"/>
  <c r="Z154" s="1"/>
  <c r="J156"/>
  <c r="K156"/>
  <c r="K155" s="1"/>
  <c r="K33" i="4" s="1"/>
  <c r="L156" i="5"/>
  <c r="Z156"/>
  <c r="AB156"/>
  <c r="AC156"/>
  <c r="AF156"/>
  <c r="AG156"/>
  <c r="AH156"/>
  <c r="AJ156"/>
  <c r="AK156"/>
  <c r="AO156"/>
  <c r="AP156"/>
  <c r="AW156"/>
  <c r="AV156" s="1"/>
  <c r="AX156"/>
  <c r="K21" i="3" s="1"/>
  <c r="BD156" i="5"/>
  <c r="BF156"/>
  <c r="BH156"/>
  <c r="AD156" s="1"/>
  <c r="BI156"/>
  <c r="AE156" s="1"/>
  <c r="BJ156"/>
  <c r="K157"/>
  <c r="L157"/>
  <c r="AL157" s="1"/>
  <c r="Z157"/>
  <c r="AB157"/>
  <c r="AC157"/>
  <c r="AD157"/>
  <c r="AE157"/>
  <c r="AF157"/>
  <c r="AG157"/>
  <c r="AH157"/>
  <c r="AJ157"/>
  <c r="AK157"/>
  <c r="AO157"/>
  <c r="J157" s="1"/>
  <c r="AP157"/>
  <c r="AW157"/>
  <c r="AV157" s="1"/>
  <c r="AX157"/>
  <c r="BC157" s="1"/>
  <c r="BD157"/>
  <c r="BF157"/>
  <c r="BH157"/>
  <c r="BI157"/>
  <c r="BJ157"/>
  <c r="J159"/>
  <c r="L159"/>
  <c r="Z159"/>
  <c r="AB159"/>
  <c r="AC159"/>
  <c r="AF159"/>
  <c r="AG159"/>
  <c r="AH159"/>
  <c r="AJ159"/>
  <c r="AK159"/>
  <c r="AL159"/>
  <c r="AO159"/>
  <c r="AP159"/>
  <c r="AX159" s="1"/>
  <c r="AV159" s="1"/>
  <c r="AW159"/>
  <c r="BC159" s="1"/>
  <c r="BD159"/>
  <c r="BF159"/>
  <c r="BH159"/>
  <c r="AD159" s="1"/>
  <c r="BI159"/>
  <c r="AE159" s="1"/>
  <c r="BJ159"/>
  <c r="K161"/>
  <c r="L161"/>
  <c r="AL161" s="1"/>
  <c r="Z161"/>
  <c r="AB161"/>
  <c r="AC161"/>
  <c r="AF161"/>
  <c r="AG161"/>
  <c r="AH161"/>
  <c r="AJ161"/>
  <c r="AK161"/>
  <c r="AO161"/>
  <c r="J161" s="1"/>
  <c r="AP161"/>
  <c r="AW161"/>
  <c r="AV161" s="1"/>
  <c r="AX161"/>
  <c r="BC161" s="1"/>
  <c r="BD161"/>
  <c r="BF161"/>
  <c r="BH161"/>
  <c r="AD161" s="1"/>
  <c r="BI161"/>
  <c r="AE161" s="1"/>
  <c r="BJ161"/>
  <c r="J162"/>
  <c r="K162"/>
  <c r="L162"/>
  <c r="AL162" s="1"/>
  <c r="Z162"/>
  <c r="AB162"/>
  <c r="AC162"/>
  <c r="AF162"/>
  <c r="AG162"/>
  <c r="AH162"/>
  <c r="AJ162"/>
  <c r="AK162"/>
  <c r="AO162"/>
  <c r="AP162"/>
  <c r="AX162" s="1"/>
  <c r="AV162" s="1"/>
  <c r="AW162"/>
  <c r="BC162" s="1"/>
  <c r="BD162"/>
  <c r="BF162"/>
  <c r="BH162"/>
  <c r="AD162" s="1"/>
  <c r="BI162"/>
  <c r="AE162" s="1"/>
  <c r="BJ162"/>
  <c r="L164"/>
  <c r="Z164"/>
  <c r="AB164"/>
  <c r="AC164"/>
  <c r="AF164"/>
  <c r="AG164"/>
  <c r="AH164"/>
  <c r="AJ164"/>
  <c r="AK164"/>
  <c r="AL164"/>
  <c r="AO164"/>
  <c r="AW164" s="1"/>
  <c r="AP164"/>
  <c r="AX164" s="1"/>
  <c r="BD164"/>
  <c r="BF164"/>
  <c r="BH164"/>
  <c r="AD164" s="1"/>
  <c r="BI164"/>
  <c r="AE164" s="1"/>
  <c r="BJ164"/>
  <c r="L165"/>
  <c r="Z165"/>
  <c r="AB165"/>
  <c r="AC165"/>
  <c r="AF165"/>
  <c r="AG165"/>
  <c r="AH165"/>
  <c r="AJ165"/>
  <c r="AS158" s="1"/>
  <c r="AK165"/>
  <c r="AT158" s="1"/>
  <c r="AL165"/>
  <c r="AO165"/>
  <c r="J165" s="1"/>
  <c r="AP165"/>
  <c r="AX165" s="1"/>
  <c r="BD165"/>
  <c r="BF165"/>
  <c r="BH165"/>
  <c r="AD165" s="1"/>
  <c r="BI165"/>
  <c r="AE165" s="1"/>
  <c r="BJ165"/>
  <c r="L166"/>
  <c r="AB166"/>
  <c r="AC166"/>
  <c r="AD166"/>
  <c r="AE166"/>
  <c r="AF166"/>
  <c r="AG166"/>
  <c r="AH166"/>
  <c r="AJ166"/>
  <c r="AK166"/>
  <c r="AL166"/>
  <c r="AO166"/>
  <c r="AW166" s="1"/>
  <c r="AP166"/>
  <c r="K166" s="1"/>
  <c r="BD166"/>
  <c r="BF166"/>
  <c r="BH166"/>
  <c r="BJ166"/>
  <c r="Z166" s="1"/>
  <c r="L168"/>
  <c r="Z168"/>
  <c r="AB168"/>
  <c r="AC168"/>
  <c r="AF168"/>
  <c r="AG168"/>
  <c r="AH168"/>
  <c r="AJ168"/>
  <c r="AK168"/>
  <c r="AL168"/>
  <c r="AO168"/>
  <c r="J168" s="1"/>
  <c r="AP168"/>
  <c r="AX168" s="1"/>
  <c r="BD168"/>
  <c r="BF168"/>
  <c r="BH168"/>
  <c r="AD168" s="1"/>
  <c r="BI168"/>
  <c r="AE168" s="1"/>
  <c r="BJ168"/>
  <c r="K169"/>
  <c r="L169"/>
  <c r="AL169" s="1"/>
  <c r="Z169"/>
  <c r="AB169"/>
  <c r="AC169"/>
  <c r="AF169"/>
  <c r="AG169"/>
  <c r="AH169"/>
  <c r="AJ169"/>
  <c r="AK169"/>
  <c r="AO169"/>
  <c r="J169" s="1"/>
  <c r="AP169"/>
  <c r="AW169"/>
  <c r="AV169" s="1"/>
  <c r="AX169"/>
  <c r="BC169" s="1"/>
  <c r="BD169"/>
  <c r="BF169"/>
  <c r="BH169"/>
  <c r="AD169" s="1"/>
  <c r="BI169"/>
  <c r="AE169" s="1"/>
  <c r="BJ169"/>
  <c r="K170"/>
  <c r="L170"/>
  <c r="AL170" s="1"/>
  <c r="Z170"/>
  <c r="AB170"/>
  <c r="AC170"/>
  <c r="AF170"/>
  <c r="AG170"/>
  <c r="AH170"/>
  <c r="AJ170"/>
  <c r="AK170"/>
  <c r="AO170"/>
  <c r="J170" s="1"/>
  <c r="AP170"/>
  <c r="AW170"/>
  <c r="AV170" s="1"/>
  <c r="AX170"/>
  <c r="BC170" s="1"/>
  <c r="BD170"/>
  <c r="BF170"/>
  <c r="BH170"/>
  <c r="AD170" s="1"/>
  <c r="BI170"/>
  <c r="AE170" s="1"/>
  <c r="BJ170"/>
  <c r="J171"/>
  <c r="L171"/>
  <c r="AL171" s="1"/>
  <c r="Z171"/>
  <c r="AB171"/>
  <c r="AC171"/>
  <c r="AF171"/>
  <c r="AG171"/>
  <c r="AH171"/>
  <c r="AJ171"/>
  <c r="AK171"/>
  <c r="AO171"/>
  <c r="AP171"/>
  <c r="K171" s="1"/>
  <c r="AW171"/>
  <c r="BD171"/>
  <c r="BF171"/>
  <c r="BH171"/>
  <c r="AD171" s="1"/>
  <c r="BI171"/>
  <c r="AE171" s="1"/>
  <c r="BJ171"/>
  <c r="L172"/>
  <c r="AB172"/>
  <c r="AC172"/>
  <c r="AD172"/>
  <c r="AE172"/>
  <c r="AF172"/>
  <c r="AG172"/>
  <c r="AH172"/>
  <c r="AJ172"/>
  <c r="AK172"/>
  <c r="AL172"/>
  <c r="AO172"/>
  <c r="J172" s="1"/>
  <c r="AP172"/>
  <c r="AX172" s="1"/>
  <c r="BD172"/>
  <c r="BF172"/>
  <c r="BH172"/>
  <c r="BI172"/>
  <c r="BJ172"/>
  <c r="Z172" s="1"/>
  <c r="K174"/>
  <c r="K37" i="4" s="1"/>
  <c r="K175" i="5"/>
  <c r="L175"/>
  <c r="AL175" s="1"/>
  <c r="AU174" s="1"/>
  <c r="Z175"/>
  <c r="AB175"/>
  <c r="AC175"/>
  <c r="AD175"/>
  <c r="AE175"/>
  <c r="AF175"/>
  <c r="AG175"/>
  <c r="AH175"/>
  <c r="AJ175"/>
  <c r="AS174" s="1"/>
  <c r="AK175"/>
  <c r="AT174" s="1"/>
  <c r="AO175"/>
  <c r="J175" s="1"/>
  <c r="J174" s="1"/>
  <c r="AP175"/>
  <c r="AW175"/>
  <c r="AV175" s="1"/>
  <c r="L25" i="3" s="1"/>
  <c r="N25" s="1"/>
  <c r="AX175" i="5"/>
  <c r="K25" i="3" s="1"/>
  <c r="BD175" i="5"/>
  <c r="BF175"/>
  <c r="BH175"/>
  <c r="BI175"/>
  <c r="BJ175"/>
  <c r="AT176"/>
  <c r="L177"/>
  <c r="AL177" s="1"/>
  <c r="AU176" s="1"/>
  <c r="Z177"/>
  <c r="AD177"/>
  <c r="AE177"/>
  <c r="AF177"/>
  <c r="AG177"/>
  <c r="AH177"/>
  <c r="AJ177"/>
  <c r="AS176" s="1"/>
  <c r="AK177"/>
  <c r="AO177"/>
  <c r="AW177" s="1"/>
  <c r="AP177"/>
  <c r="AX177" s="1"/>
  <c r="BD177"/>
  <c r="BF177"/>
  <c r="BH177"/>
  <c r="AB177" s="1"/>
  <c r="BI177"/>
  <c r="AC177" s="1"/>
  <c r="BJ177"/>
  <c r="L180"/>
  <c r="Z180"/>
  <c r="AB180"/>
  <c r="AC180"/>
  <c r="AD180"/>
  <c r="AE180"/>
  <c r="AF180"/>
  <c r="AG180"/>
  <c r="AH180"/>
  <c r="AJ180"/>
  <c r="AK180"/>
  <c r="AL180"/>
  <c r="AO180"/>
  <c r="J180" s="1"/>
  <c r="J179" s="1"/>
  <c r="J39" i="4" s="1"/>
  <c r="AP180" i="5"/>
  <c r="AX180" s="1"/>
  <c r="BD180"/>
  <c r="BF180"/>
  <c r="BH180"/>
  <c r="BI180"/>
  <c r="BJ180"/>
  <c r="J182"/>
  <c r="K182"/>
  <c r="L182"/>
  <c r="AL182" s="1"/>
  <c r="Z182"/>
  <c r="AB182"/>
  <c r="AC182"/>
  <c r="AD182"/>
  <c r="AE182"/>
  <c r="AF182"/>
  <c r="AG182"/>
  <c r="AH182"/>
  <c r="AJ182"/>
  <c r="AK182"/>
  <c r="AO182"/>
  <c r="AP182"/>
  <c r="AW182"/>
  <c r="AV182" s="1"/>
  <c r="AX182"/>
  <c r="BD182"/>
  <c r="BF182"/>
  <c r="BH182"/>
  <c r="BI182"/>
  <c r="BJ182"/>
  <c r="J183"/>
  <c r="L183"/>
  <c r="Z183"/>
  <c r="AB183"/>
  <c r="AC183"/>
  <c r="AD183"/>
  <c r="AE183"/>
  <c r="AF183"/>
  <c r="AG183"/>
  <c r="AH183"/>
  <c r="AJ183"/>
  <c r="AS179" s="1"/>
  <c r="AK183"/>
  <c r="AL183"/>
  <c r="AO183"/>
  <c r="AW183" s="1"/>
  <c r="AP183"/>
  <c r="AX183" s="1"/>
  <c r="BD183"/>
  <c r="BF183"/>
  <c r="BH183"/>
  <c r="BI183"/>
  <c r="BJ183"/>
  <c r="L186"/>
  <c r="L185" s="1"/>
  <c r="L40" i="4" s="1"/>
  <c r="N40" s="1"/>
  <c r="Z186" i="5"/>
  <c r="AD186"/>
  <c r="AE186"/>
  <c r="AF186"/>
  <c r="AG186"/>
  <c r="AH186"/>
  <c r="AJ186"/>
  <c r="AS185" s="1"/>
  <c r="AK186"/>
  <c r="AT185" s="1"/>
  <c r="AO186"/>
  <c r="AW186" s="1"/>
  <c r="AP186"/>
  <c r="K186" s="1"/>
  <c r="K185" s="1"/>
  <c r="K40" i="4" s="1"/>
  <c r="AX186" i="5"/>
  <c r="BD186"/>
  <c r="BF186"/>
  <c r="BI186"/>
  <c r="AC186" s="1"/>
  <c r="BJ186"/>
  <c r="J188"/>
  <c r="L188"/>
  <c r="AL188" s="1"/>
  <c r="Z188"/>
  <c r="AB188"/>
  <c r="AC188"/>
  <c r="AF188"/>
  <c r="AG188"/>
  <c r="AH188"/>
  <c r="AJ188"/>
  <c r="AK188"/>
  <c r="AO188"/>
  <c r="AW188" s="1"/>
  <c r="AP188"/>
  <c r="AX188" s="1"/>
  <c r="BD188"/>
  <c r="BF188"/>
  <c r="BH188"/>
  <c r="AD188" s="1"/>
  <c r="BJ188"/>
  <c r="L189"/>
  <c r="AL189" s="1"/>
  <c r="Z189"/>
  <c r="AB189"/>
  <c r="AC189"/>
  <c r="AF189"/>
  <c r="AG189"/>
  <c r="AH189"/>
  <c r="AJ189"/>
  <c r="AK189"/>
  <c r="AO189"/>
  <c r="AW189" s="1"/>
  <c r="AP189"/>
  <c r="K189" s="1"/>
  <c r="AX189"/>
  <c r="BD189"/>
  <c r="BF189"/>
  <c r="BH189"/>
  <c r="AD189" s="1"/>
  <c r="BI189"/>
  <c r="AE189" s="1"/>
  <c r="BJ189"/>
  <c r="L190"/>
  <c r="AL190" s="1"/>
  <c r="Z190"/>
  <c r="AB190"/>
  <c r="AC190"/>
  <c r="AF190"/>
  <c r="AG190"/>
  <c r="AH190"/>
  <c r="AJ190"/>
  <c r="AK190"/>
  <c r="AO190"/>
  <c r="AW190" s="1"/>
  <c r="AP190"/>
  <c r="K190" s="1"/>
  <c r="AX190"/>
  <c r="BD190"/>
  <c r="BF190"/>
  <c r="BI190"/>
  <c r="AE190" s="1"/>
  <c r="BJ190"/>
  <c r="L191"/>
  <c r="Z191"/>
  <c r="AB191"/>
  <c r="AC191"/>
  <c r="AF191"/>
  <c r="AG191"/>
  <c r="AH191"/>
  <c r="AJ191"/>
  <c r="AK191"/>
  <c r="AL191"/>
  <c r="AO191"/>
  <c r="AW191" s="1"/>
  <c r="AP191"/>
  <c r="K191" s="1"/>
  <c r="AX191"/>
  <c r="BD191"/>
  <c r="BF191"/>
  <c r="BH191"/>
  <c r="AD191" s="1"/>
  <c r="BI191"/>
  <c r="AE191" s="1"/>
  <c r="BJ191"/>
  <c r="J192"/>
  <c r="K192"/>
  <c r="L192"/>
  <c r="AL192" s="1"/>
  <c r="Z192"/>
  <c r="AB192"/>
  <c r="AC192"/>
  <c r="AF192"/>
  <c r="AG192"/>
  <c r="AH192"/>
  <c r="AJ192"/>
  <c r="AK192"/>
  <c r="AO192"/>
  <c r="AP192"/>
  <c r="AW192"/>
  <c r="AV192" s="1"/>
  <c r="AX192"/>
  <c r="BD192"/>
  <c r="BF192"/>
  <c r="BH192"/>
  <c r="AD192" s="1"/>
  <c r="BI192"/>
  <c r="AE192" s="1"/>
  <c r="BJ192"/>
  <c r="L193"/>
  <c r="Z193"/>
  <c r="AB193"/>
  <c r="AC193"/>
  <c r="AF193"/>
  <c r="AG193"/>
  <c r="AH193"/>
  <c r="AJ193"/>
  <c r="AK193"/>
  <c r="AL193"/>
  <c r="AO193"/>
  <c r="J193" s="1"/>
  <c r="AP193"/>
  <c r="AX193" s="1"/>
  <c r="BD193"/>
  <c r="BF193"/>
  <c r="BH193"/>
  <c r="AD193" s="1"/>
  <c r="BI193"/>
  <c r="AE193" s="1"/>
  <c r="BJ193"/>
  <c r="L194"/>
  <c r="Z194"/>
  <c r="AB194"/>
  <c r="AC194"/>
  <c r="AF194"/>
  <c r="AG194"/>
  <c r="AH194"/>
  <c r="AJ194"/>
  <c r="AK194"/>
  <c r="AL194"/>
  <c r="AO194"/>
  <c r="AW194" s="1"/>
  <c r="AP194"/>
  <c r="AX194" s="1"/>
  <c r="BD194"/>
  <c r="BF194"/>
  <c r="BH194"/>
  <c r="AD194" s="1"/>
  <c r="BI194"/>
  <c r="AE194" s="1"/>
  <c r="BJ194"/>
  <c r="L195"/>
  <c r="Z195"/>
  <c r="AB195"/>
  <c r="AC195"/>
  <c r="AD195"/>
  <c r="AF195"/>
  <c r="AG195"/>
  <c r="AH195"/>
  <c r="AJ195"/>
  <c r="AK195"/>
  <c r="AL195"/>
  <c r="AO195"/>
  <c r="AW195" s="1"/>
  <c r="AP195"/>
  <c r="K195" s="1"/>
  <c r="AX195"/>
  <c r="BD195"/>
  <c r="BF195"/>
  <c r="BH195"/>
  <c r="BI195"/>
  <c r="AE195" s="1"/>
  <c r="BJ195"/>
  <c r="J196"/>
  <c r="K196"/>
  <c r="L196"/>
  <c r="AL196" s="1"/>
  <c r="AB196"/>
  <c r="AC196"/>
  <c r="AD196"/>
  <c r="AE196"/>
  <c r="AF196"/>
  <c r="AG196"/>
  <c r="AH196"/>
  <c r="AJ196"/>
  <c r="AK196"/>
  <c r="AO196"/>
  <c r="AP196"/>
  <c r="AV196"/>
  <c r="AW196"/>
  <c r="BC196" s="1"/>
  <c r="AX196"/>
  <c r="BD196"/>
  <c r="BF196"/>
  <c r="BH196"/>
  <c r="BI196"/>
  <c r="BJ196"/>
  <c r="Z196" s="1"/>
  <c r="L198"/>
  <c r="L197" s="1"/>
  <c r="L42" i="4" s="1"/>
  <c r="N42" s="1"/>
  <c r="Z198" i="5"/>
  <c r="AB198"/>
  <c r="AC198"/>
  <c r="AD198"/>
  <c r="AE198"/>
  <c r="AF198"/>
  <c r="AG198"/>
  <c r="AH198"/>
  <c r="AJ198"/>
  <c r="AS197" s="1"/>
  <c r="AK198"/>
  <c r="AT197" s="1"/>
  <c r="AO198"/>
  <c r="AW198" s="1"/>
  <c r="AP198"/>
  <c r="K198" s="1"/>
  <c r="K197" s="1"/>
  <c r="K42" i="4" s="1"/>
  <c r="AX198" i="5"/>
  <c r="BD198"/>
  <c r="BF198"/>
  <c r="BH198"/>
  <c r="BI198"/>
  <c r="BJ198"/>
  <c r="L199"/>
  <c r="L43" i="4" s="1"/>
  <c r="N43" s="1"/>
  <c r="L200" i="5"/>
  <c r="AL200" s="1"/>
  <c r="Z200"/>
  <c r="AB200"/>
  <c r="AD200"/>
  <c r="AE200"/>
  <c r="AF200"/>
  <c r="AG200"/>
  <c r="AH200"/>
  <c r="AJ200"/>
  <c r="AK200"/>
  <c r="AO200"/>
  <c r="J200" s="1"/>
  <c r="AP200"/>
  <c r="AX200" s="1"/>
  <c r="BC200" s="1"/>
  <c r="AW200"/>
  <c r="BD200"/>
  <c r="BF200"/>
  <c r="BH200"/>
  <c r="BI200"/>
  <c r="AC200" s="1"/>
  <c r="BJ200"/>
  <c r="L202"/>
  <c r="Z202"/>
  <c r="AC202"/>
  <c r="AD202"/>
  <c r="AE202"/>
  <c r="AF202"/>
  <c r="AG202"/>
  <c r="AH202"/>
  <c r="AJ202"/>
  <c r="AK202"/>
  <c r="AL202"/>
  <c r="AO202"/>
  <c r="BH202" s="1"/>
  <c r="AB202" s="1"/>
  <c r="AP202"/>
  <c r="AX202" s="1"/>
  <c r="BD202"/>
  <c r="BF202"/>
  <c r="BI202"/>
  <c r="BJ202"/>
  <c r="L203"/>
  <c r="Z203"/>
  <c r="AB203"/>
  <c r="AC203"/>
  <c r="AD203"/>
  <c r="AE203"/>
  <c r="AF203"/>
  <c r="AG203"/>
  <c r="AH203"/>
  <c r="AJ203"/>
  <c r="AK203"/>
  <c r="AL203"/>
  <c r="AO203"/>
  <c r="AW203" s="1"/>
  <c r="AP203"/>
  <c r="K203" s="1"/>
  <c r="AX203"/>
  <c r="BD203"/>
  <c r="BF203"/>
  <c r="BH203"/>
  <c r="BI203"/>
  <c r="BJ203"/>
  <c r="J204"/>
  <c r="L204"/>
  <c r="AL204" s="1"/>
  <c r="Z204"/>
  <c r="AD204"/>
  <c r="AE204"/>
  <c r="AF204"/>
  <c r="AG204"/>
  <c r="AH204"/>
  <c r="AJ204"/>
  <c r="AK204"/>
  <c r="AO204"/>
  <c r="AP204"/>
  <c r="K204" s="1"/>
  <c r="AW204"/>
  <c r="BD204"/>
  <c r="BF204"/>
  <c r="BH204"/>
  <c r="AB204" s="1"/>
  <c r="BI204"/>
  <c r="AC204" s="1"/>
  <c r="BJ204"/>
  <c r="L205"/>
  <c r="Z205"/>
  <c r="AD205"/>
  <c r="AE205"/>
  <c r="AF205"/>
  <c r="AG205"/>
  <c r="AH205"/>
  <c r="AJ205"/>
  <c r="AK205"/>
  <c r="AL205"/>
  <c r="AO205"/>
  <c r="AW205" s="1"/>
  <c r="AP205"/>
  <c r="AX205" s="1"/>
  <c r="BD205"/>
  <c r="BF205"/>
  <c r="BH205"/>
  <c r="AB205" s="1"/>
  <c r="BI205"/>
  <c r="AC205" s="1"/>
  <c r="BJ205"/>
  <c r="L206"/>
  <c r="Z206"/>
  <c r="AC206"/>
  <c r="AD206"/>
  <c r="AE206"/>
  <c r="AF206"/>
  <c r="AG206"/>
  <c r="AH206"/>
  <c r="AJ206"/>
  <c r="AK206"/>
  <c r="AL206"/>
  <c r="AO206"/>
  <c r="AW206" s="1"/>
  <c r="AP206"/>
  <c r="AX206" s="1"/>
  <c r="BD206"/>
  <c r="BF206"/>
  <c r="BH206"/>
  <c r="AB206" s="1"/>
  <c r="BI206"/>
  <c r="BJ206"/>
  <c r="K207"/>
  <c r="L207"/>
  <c r="AL207" s="1"/>
  <c r="Z207"/>
  <c r="AB207"/>
  <c r="AD207"/>
  <c r="AE207"/>
  <c r="AF207"/>
  <c r="AG207"/>
  <c r="AH207"/>
  <c r="AJ207"/>
  <c r="AK207"/>
  <c r="AO207"/>
  <c r="J207" s="1"/>
  <c r="AP207"/>
  <c r="BI207" s="1"/>
  <c r="AC207" s="1"/>
  <c r="AW207"/>
  <c r="AV207" s="1"/>
  <c r="AX207"/>
  <c r="BC207"/>
  <c r="BD207"/>
  <c r="BF207"/>
  <c r="BH207"/>
  <c r="BJ207"/>
  <c r="L208"/>
  <c r="Z208"/>
  <c r="AD208"/>
  <c r="AE208"/>
  <c r="AF208"/>
  <c r="AG208"/>
  <c r="AH208"/>
  <c r="AJ208"/>
  <c r="AK208"/>
  <c r="AL208"/>
  <c r="AO208"/>
  <c r="BH208" s="1"/>
  <c r="AB208" s="1"/>
  <c r="AP208"/>
  <c r="AX208" s="1"/>
  <c r="BD208"/>
  <c r="BF208"/>
  <c r="BI208"/>
  <c r="AC208" s="1"/>
  <c r="BJ208"/>
  <c r="J209"/>
  <c r="L209"/>
  <c r="Z209"/>
  <c r="AD209"/>
  <c r="AE209"/>
  <c r="AF209"/>
  <c r="AG209"/>
  <c r="AH209"/>
  <c r="AJ209"/>
  <c r="AK209"/>
  <c r="AL209"/>
  <c r="AO209"/>
  <c r="AW209" s="1"/>
  <c r="AP209"/>
  <c r="K209" s="1"/>
  <c r="BD209"/>
  <c r="BF209"/>
  <c r="BH209"/>
  <c r="AB209" s="1"/>
  <c r="BI209"/>
  <c r="AC209" s="1"/>
  <c r="BJ209"/>
  <c r="L210"/>
  <c r="Z210"/>
  <c r="AC210"/>
  <c r="AD210"/>
  <c r="AE210"/>
  <c r="AF210"/>
  <c r="AG210"/>
  <c r="AH210"/>
  <c r="AJ210"/>
  <c r="AK210"/>
  <c r="AL210"/>
  <c r="AO210"/>
  <c r="AW210" s="1"/>
  <c r="AP210"/>
  <c r="AX210" s="1"/>
  <c r="BD210"/>
  <c r="BF210"/>
  <c r="BH210"/>
  <c r="AB210" s="1"/>
  <c r="BI210"/>
  <c r="BJ210"/>
  <c r="L211"/>
  <c r="AL211" s="1"/>
  <c r="Z211"/>
  <c r="AB211"/>
  <c r="AC211"/>
  <c r="AD211"/>
  <c r="AE211"/>
  <c r="AF211"/>
  <c r="AG211"/>
  <c r="AH211"/>
  <c r="AJ211"/>
  <c r="AK211"/>
  <c r="AO211"/>
  <c r="AW211" s="1"/>
  <c r="AP211"/>
  <c r="K211" s="1"/>
  <c r="AX211"/>
  <c r="BD211"/>
  <c r="BF211"/>
  <c r="BH211"/>
  <c r="BI211"/>
  <c r="BJ211"/>
  <c r="J212"/>
  <c r="L212"/>
  <c r="AL212" s="1"/>
  <c r="Z212"/>
  <c r="AD212"/>
  <c r="AE212"/>
  <c r="AF212"/>
  <c r="AG212"/>
  <c r="AH212"/>
  <c r="AJ212"/>
  <c r="AK212"/>
  <c r="AO212"/>
  <c r="AP212"/>
  <c r="AX212" s="1"/>
  <c r="AV212" s="1"/>
  <c r="AW212"/>
  <c r="BD212"/>
  <c r="BF212"/>
  <c r="BH212"/>
  <c r="AB212" s="1"/>
  <c r="BI212"/>
  <c r="AC212" s="1"/>
  <c r="BJ212"/>
  <c r="J214"/>
  <c r="K214"/>
  <c r="L214"/>
  <c r="AL214" s="1"/>
  <c r="AB214"/>
  <c r="AC214"/>
  <c r="AD214"/>
  <c r="AE214"/>
  <c r="AF214"/>
  <c r="AG214"/>
  <c r="AH214"/>
  <c r="AJ214"/>
  <c r="AK214"/>
  <c r="AO214"/>
  <c r="AP214"/>
  <c r="AV214"/>
  <c r="AW214"/>
  <c r="BC214" s="1"/>
  <c r="AX214"/>
  <c r="BD214"/>
  <c r="BF214"/>
  <c r="BH214"/>
  <c r="BI214"/>
  <c r="BJ214"/>
  <c r="Z214" s="1"/>
  <c r="L215"/>
  <c r="AL215" s="1"/>
  <c r="Z215"/>
  <c r="AB215"/>
  <c r="AC215"/>
  <c r="AD215"/>
  <c r="AE215"/>
  <c r="AF215"/>
  <c r="AG215"/>
  <c r="AH215"/>
  <c r="AJ215"/>
  <c r="AK215"/>
  <c r="AO215"/>
  <c r="AW215" s="1"/>
  <c r="AP215"/>
  <c r="K215" s="1"/>
  <c r="AX215"/>
  <c r="BD215"/>
  <c r="BF215"/>
  <c r="BH215"/>
  <c r="BI215"/>
  <c r="BJ215"/>
  <c r="J216"/>
  <c r="L216"/>
  <c r="AL216" s="1"/>
  <c r="AB216"/>
  <c r="AC216"/>
  <c r="AD216"/>
  <c r="AE216"/>
  <c r="AF216"/>
  <c r="AG216"/>
  <c r="AH216"/>
  <c r="AJ216"/>
  <c r="AK216"/>
  <c r="AO216"/>
  <c r="AP216"/>
  <c r="AX216" s="1"/>
  <c r="AV216" s="1"/>
  <c r="AW216"/>
  <c r="BD216"/>
  <c r="BF216"/>
  <c r="BH216"/>
  <c r="BI216"/>
  <c r="BJ216"/>
  <c r="Z216" s="1"/>
  <c r="J217"/>
  <c r="L217"/>
  <c r="Z217"/>
  <c r="AB217"/>
  <c r="AC217"/>
  <c r="AD217"/>
  <c r="AE217"/>
  <c r="AF217"/>
  <c r="AG217"/>
  <c r="AH217"/>
  <c r="AJ217"/>
  <c r="AK217"/>
  <c r="AL217"/>
  <c r="AO217"/>
  <c r="AP217"/>
  <c r="AX217" s="1"/>
  <c r="BC217" s="1"/>
  <c r="AW217"/>
  <c r="BD217"/>
  <c r="BF217"/>
  <c r="BH217"/>
  <c r="BI217"/>
  <c r="BJ217"/>
  <c r="L218"/>
  <c r="AL218" s="1"/>
  <c r="AB218"/>
  <c r="AC218"/>
  <c r="AD218"/>
  <c r="AE218"/>
  <c r="AF218"/>
  <c r="AG218"/>
  <c r="AH218"/>
  <c r="AJ218"/>
  <c r="AK218"/>
  <c r="AO218"/>
  <c r="J218" s="1"/>
  <c r="AP218"/>
  <c r="AX218" s="1"/>
  <c r="BD218"/>
  <c r="BF218"/>
  <c r="BH218"/>
  <c r="BI218"/>
  <c r="BJ218"/>
  <c r="Z218" s="1"/>
  <c r="L219"/>
  <c r="AB219"/>
  <c r="AC219"/>
  <c r="AD219"/>
  <c r="AE219"/>
  <c r="AF219"/>
  <c r="AG219"/>
  <c r="AH219"/>
  <c r="AJ219"/>
  <c r="AK219"/>
  <c r="AL219"/>
  <c r="AO219"/>
  <c r="AW219" s="1"/>
  <c r="AP219"/>
  <c r="AX219" s="1"/>
  <c r="BD219"/>
  <c r="BF219"/>
  <c r="BH219"/>
  <c r="BI219"/>
  <c r="BJ219"/>
  <c r="Z219" s="1"/>
  <c r="J220"/>
  <c r="L220"/>
  <c r="Z220"/>
  <c r="AB220"/>
  <c r="AC220"/>
  <c r="AD220"/>
  <c r="AE220"/>
  <c r="AF220"/>
  <c r="AG220"/>
  <c r="AH220"/>
  <c r="AJ220"/>
  <c r="AK220"/>
  <c r="AL220"/>
  <c r="AO220"/>
  <c r="AW220" s="1"/>
  <c r="AP220"/>
  <c r="AX220" s="1"/>
  <c r="BD220"/>
  <c r="BF220"/>
  <c r="BH220"/>
  <c r="BI220"/>
  <c r="BJ220"/>
  <c r="AT221"/>
  <c r="K222"/>
  <c r="K221" s="1"/>
  <c r="K45" i="4" s="1"/>
  <c r="L222" i="5"/>
  <c r="AL222" s="1"/>
  <c r="AU221" s="1"/>
  <c r="Z222"/>
  <c r="AC222"/>
  <c r="AD222"/>
  <c r="AE222"/>
  <c r="AF222"/>
  <c r="AG222"/>
  <c r="AH222"/>
  <c r="AJ222"/>
  <c r="AS221" s="1"/>
  <c r="AK222"/>
  <c r="AO222"/>
  <c r="J222" s="1"/>
  <c r="J221" s="1"/>
  <c r="J45" i="4" s="1"/>
  <c r="AP222" i="5"/>
  <c r="AW222"/>
  <c r="AV222" s="1"/>
  <c r="AX222"/>
  <c r="BD222"/>
  <c r="BF222"/>
  <c r="BH222"/>
  <c r="AB222" s="1"/>
  <c r="BI222"/>
  <c r="BJ222"/>
  <c r="J224"/>
  <c r="K224"/>
  <c r="L224"/>
  <c r="Z224"/>
  <c r="AB224"/>
  <c r="AC224"/>
  <c r="AF224"/>
  <c r="AG224"/>
  <c r="AH224"/>
  <c r="AJ224"/>
  <c r="AK224"/>
  <c r="AO224"/>
  <c r="AP224"/>
  <c r="AW224"/>
  <c r="AV224" s="1"/>
  <c r="AX224"/>
  <c r="K27" i="3" s="1"/>
  <c r="BD224" i="5"/>
  <c r="BF224"/>
  <c r="BH224"/>
  <c r="AD224" s="1"/>
  <c r="BI224"/>
  <c r="AE224" s="1"/>
  <c r="BJ224"/>
  <c r="K226"/>
  <c r="L226"/>
  <c r="AL226" s="1"/>
  <c r="Z226"/>
  <c r="AB226"/>
  <c r="AC226"/>
  <c r="AF226"/>
  <c r="AG226"/>
  <c r="AH226"/>
  <c r="AJ226"/>
  <c r="AK226"/>
  <c r="AO226"/>
  <c r="AW226" s="1"/>
  <c r="AP226"/>
  <c r="AX226"/>
  <c r="BD226"/>
  <c r="BF226"/>
  <c r="BH226"/>
  <c r="AD226" s="1"/>
  <c r="BI226"/>
  <c r="AE226" s="1"/>
  <c r="BJ226"/>
  <c r="J228"/>
  <c r="K228"/>
  <c r="L228"/>
  <c r="AL228" s="1"/>
  <c r="Z228"/>
  <c r="AB228"/>
  <c r="AC228"/>
  <c r="AF228"/>
  <c r="AG228"/>
  <c r="AH228"/>
  <c r="AJ228"/>
  <c r="AK228"/>
  <c r="AO228"/>
  <c r="AP228"/>
  <c r="AV228"/>
  <c r="AW228"/>
  <c r="AX228"/>
  <c r="BC228"/>
  <c r="BD228"/>
  <c r="BF228"/>
  <c r="BH228"/>
  <c r="AD228" s="1"/>
  <c r="BI228"/>
  <c r="AE228" s="1"/>
  <c r="BJ228"/>
  <c r="K229"/>
  <c r="L229"/>
  <c r="AL229" s="1"/>
  <c r="Z229"/>
  <c r="AB229"/>
  <c r="AC229"/>
  <c r="AF229"/>
  <c r="AG229"/>
  <c r="AH229"/>
  <c r="AJ229"/>
  <c r="AK229"/>
  <c r="AO229"/>
  <c r="AW229" s="1"/>
  <c r="AP229"/>
  <c r="AX229"/>
  <c r="BD229"/>
  <c r="BF229"/>
  <c r="BH229"/>
  <c r="AD229" s="1"/>
  <c r="BI229"/>
  <c r="AE229" s="1"/>
  <c r="BJ229"/>
  <c r="J230"/>
  <c r="K230"/>
  <c r="L230"/>
  <c r="AL230" s="1"/>
  <c r="AB230"/>
  <c r="AC230"/>
  <c r="AD230"/>
  <c r="AE230"/>
  <c r="AF230"/>
  <c r="AG230"/>
  <c r="AH230"/>
  <c r="AJ230"/>
  <c r="AK230"/>
  <c r="AO230"/>
  <c r="AP230"/>
  <c r="AV230"/>
  <c r="AW230"/>
  <c r="BC230" s="1"/>
  <c r="AX230"/>
  <c r="BD230"/>
  <c r="BF230"/>
  <c r="BH230"/>
  <c r="BI230"/>
  <c r="BJ230"/>
  <c r="Z230" s="1"/>
  <c r="J232"/>
  <c r="L232"/>
  <c r="AL232" s="1"/>
  <c r="Z232"/>
  <c r="AB232"/>
  <c r="AC232"/>
  <c r="AE232"/>
  <c r="AF232"/>
  <c r="AG232"/>
  <c r="AH232"/>
  <c r="AJ232"/>
  <c r="AK232"/>
  <c r="AO232"/>
  <c r="AW232" s="1"/>
  <c r="AP232"/>
  <c r="AX232" s="1"/>
  <c r="BD232"/>
  <c r="BF232"/>
  <c r="BH232"/>
  <c r="AD232" s="1"/>
  <c r="BI232"/>
  <c r="BJ232"/>
  <c r="J234"/>
  <c r="K234"/>
  <c r="L234"/>
  <c r="AL234" s="1"/>
  <c r="Z234"/>
  <c r="AB234"/>
  <c r="AC234"/>
  <c r="AF234"/>
  <c r="AG234"/>
  <c r="AH234"/>
  <c r="AJ234"/>
  <c r="AK234"/>
  <c r="AO234"/>
  <c r="AP234"/>
  <c r="AW234"/>
  <c r="AV234" s="1"/>
  <c r="AX234"/>
  <c r="BD234"/>
  <c r="BF234"/>
  <c r="BH234"/>
  <c r="AD234" s="1"/>
  <c r="BI234"/>
  <c r="AE234" s="1"/>
  <c r="BJ234"/>
  <c r="J235"/>
  <c r="L235"/>
  <c r="Z235"/>
  <c r="AB235"/>
  <c r="AC235"/>
  <c r="AF235"/>
  <c r="AG235"/>
  <c r="AH235"/>
  <c r="AJ235"/>
  <c r="AK235"/>
  <c r="AL235"/>
  <c r="AO235"/>
  <c r="AW235" s="1"/>
  <c r="AP235"/>
  <c r="K235" s="1"/>
  <c r="BD235"/>
  <c r="BF235"/>
  <c r="BH235"/>
  <c r="AD235" s="1"/>
  <c r="BI235"/>
  <c r="AE235" s="1"/>
  <c r="BJ235"/>
  <c r="L236"/>
  <c r="Z236"/>
  <c r="AB236"/>
  <c r="AC236"/>
  <c r="AF236"/>
  <c r="AG236"/>
  <c r="AH236"/>
  <c r="AJ236"/>
  <c r="AK236"/>
  <c r="AL236"/>
  <c r="AO236"/>
  <c r="AW236" s="1"/>
  <c r="AP236"/>
  <c r="AX236" s="1"/>
  <c r="BD236"/>
  <c r="BF236"/>
  <c r="BI236"/>
  <c r="AE236" s="1"/>
  <c r="BJ236"/>
  <c r="L237"/>
  <c r="Z237"/>
  <c r="AB237"/>
  <c r="AC237"/>
  <c r="AF237"/>
  <c r="AG237"/>
  <c r="AH237"/>
  <c r="AJ237"/>
  <c r="AK237"/>
  <c r="AL237"/>
  <c r="AO237"/>
  <c r="AW237" s="1"/>
  <c r="AP237"/>
  <c r="AX237" s="1"/>
  <c r="BD237"/>
  <c r="BF237"/>
  <c r="BH237"/>
  <c r="AD237" s="1"/>
  <c r="BI237"/>
  <c r="AE237" s="1"/>
  <c r="BJ237"/>
  <c r="L238"/>
  <c r="Z238"/>
  <c r="AB238"/>
  <c r="AC238"/>
  <c r="AD238"/>
  <c r="AF238"/>
  <c r="AG238"/>
  <c r="AH238"/>
  <c r="AJ238"/>
  <c r="AK238"/>
  <c r="AL238"/>
  <c r="AO238"/>
  <c r="AW238" s="1"/>
  <c r="AP238"/>
  <c r="K238" s="1"/>
  <c r="AX238"/>
  <c r="BD238"/>
  <c r="BF238"/>
  <c r="BH238"/>
  <c r="BI238"/>
  <c r="AE238" s="1"/>
  <c r="BJ238"/>
  <c r="K239"/>
  <c r="L239"/>
  <c r="AL239" s="1"/>
  <c r="Z239"/>
  <c r="AB239"/>
  <c r="AC239"/>
  <c r="AF239"/>
  <c r="AG239"/>
  <c r="AH239"/>
  <c r="AJ239"/>
  <c r="AK239"/>
  <c r="AO239"/>
  <c r="J239" s="1"/>
  <c r="AP239"/>
  <c r="AW239"/>
  <c r="AV239" s="1"/>
  <c r="AX239"/>
  <c r="BD239"/>
  <c r="BF239"/>
  <c r="BH239"/>
  <c r="AD239" s="1"/>
  <c r="BI239"/>
  <c r="AE239" s="1"/>
  <c r="BJ239"/>
  <c r="L240"/>
  <c r="Z240"/>
  <c r="AB240"/>
  <c r="AC240"/>
  <c r="AF240"/>
  <c r="AG240"/>
  <c r="AH240"/>
  <c r="AJ240"/>
  <c r="AK240"/>
  <c r="AL240"/>
  <c r="AO240"/>
  <c r="AW240" s="1"/>
  <c r="AP240"/>
  <c r="K240" s="1"/>
  <c r="BD240"/>
  <c r="BF240"/>
  <c r="BH240"/>
  <c r="AD240" s="1"/>
  <c r="BJ240"/>
  <c r="L241"/>
  <c r="Z241"/>
  <c r="AB241"/>
  <c r="AC241"/>
  <c r="AE241"/>
  <c r="AF241"/>
  <c r="AG241"/>
  <c r="AH241"/>
  <c r="AJ241"/>
  <c r="AK241"/>
  <c r="AL241"/>
  <c r="AO241"/>
  <c r="BH241" s="1"/>
  <c r="AD241" s="1"/>
  <c r="AP241"/>
  <c r="AX241" s="1"/>
  <c r="BD241"/>
  <c r="BF241"/>
  <c r="BI241"/>
  <c r="BJ241"/>
  <c r="L242"/>
  <c r="Z242"/>
  <c r="AB242"/>
  <c r="AC242"/>
  <c r="AF242"/>
  <c r="AG242"/>
  <c r="AH242"/>
  <c r="AJ242"/>
  <c r="AK242"/>
  <c r="AL242"/>
  <c r="AO242"/>
  <c r="AW242" s="1"/>
  <c r="AP242"/>
  <c r="AX242" s="1"/>
  <c r="BD242"/>
  <c r="BF242"/>
  <c r="BH242"/>
  <c r="AD242" s="1"/>
  <c r="BI242"/>
  <c r="AE242" s="1"/>
  <c r="BJ242"/>
  <c r="L243"/>
  <c r="Z243"/>
  <c r="AB243"/>
  <c r="AC243"/>
  <c r="AF243"/>
  <c r="AG243"/>
  <c r="AH243"/>
  <c r="AJ243"/>
  <c r="AK243"/>
  <c r="AL243"/>
  <c r="AO243"/>
  <c r="BH243" s="1"/>
  <c r="AD243" s="1"/>
  <c r="AP243"/>
  <c r="AX243" s="1"/>
  <c r="BD243"/>
  <c r="BF243"/>
  <c r="BJ243"/>
  <c r="L244"/>
  <c r="Z244"/>
  <c r="AB244"/>
  <c r="AC244"/>
  <c r="AF244"/>
  <c r="AG244"/>
  <c r="AH244"/>
  <c r="AJ244"/>
  <c r="AK244"/>
  <c r="AL244"/>
  <c r="AO244"/>
  <c r="BH244" s="1"/>
  <c r="AD244" s="1"/>
  <c r="AP244"/>
  <c r="AX244" s="1"/>
  <c r="BD244"/>
  <c r="BF244"/>
  <c r="BI244"/>
  <c r="AE244" s="1"/>
  <c r="BJ244"/>
  <c r="L245"/>
  <c r="Z245"/>
  <c r="AB245"/>
  <c r="AC245"/>
  <c r="AE245"/>
  <c r="AF245"/>
  <c r="AG245"/>
  <c r="AH245"/>
  <c r="AJ245"/>
  <c r="AK245"/>
  <c r="AL245"/>
  <c r="AO245"/>
  <c r="AW245" s="1"/>
  <c r="AP245"/>
  <c r="AX245" s="1"/>
  <c r="BD245"/>
  <c r="BF245"/>
  <c r="BH245"/>
  <c r="AD245" s="1"/>
  <c r="BI245"/>
  <c r="BJ245"/>
  <c r="K246"/>
  <c r="L246"/>
  <c r="AL246" s="1"/>
  <c r="Z246"/>
  <c r="AB246"/>
  <c r="AC246"/>
  <c r="AD246"/>
  <c r="AF246"/>
  <c r="AG246"/>
  <c r="AH246"/>
  <c r="AJ246"/>
  <c r="AK246"/>
  <c r="AO246"/>
  <c r="J246" s="1"/>
  <c r="AP246"/>
  <c r="BI246" s="1"/>
  <c r="AE246" s="1"/>
  <c r="AW246"/>
  <c r="AV246" s="1"/>
  <c r="AX246"/>
  <c r="BC246"/>
  <c r="BD246"/>
  <c r="BF246"/>
  <c r="BH246"/>
  <c r="BJ246"/>
  <c r="J247"/>
  <c r="L247"/>
  <c r="Z247"/>
  <c r="AB247"/>
  <c r="AC247"/>
  <c r="AF247"/>
  <c r="AG247"/>
  <c r="AH247"/>
  <c r="AJ247"/>
  <c r="AK247"/>
  <c r="AL247"/>
  <c r="AO247"/>
  <c r="AW247" s="1"/>
  <c r="AP247"/>
  <c r="AX247" s="1"/>
  <c r="BD247"/>
  <c r="BF247"/>
  <c r="BH247"/>
  <c r="AD247" s="1"/>
  <c r="BJ247"/>
  <c r="L248"/>
  <c r="Z248"/>
  <c r="AB248"/>
  <c r="AC248"/>
  <c r="AE248"/>
  <c r="AF248"/>
  <c r="AG248"/>
  <c r="AH248"/>
  <c r="AJ248"/>
  <c r="AK248"/>
  <c r="AL248"/>
  <c r="AO248"/>
  <c r="J248" s="1"/>
  <c r="AP248"/>
  <c r="AX248" s="1"/>
  <c r="BD248"/>
  <c r="BF248"/>
  <c r="BH248"/>
  <c r="AD248" s="1"/>
  <c r="BI248"/>
  <c r="BJ248"/>
  <c r="L249"/>
  <c r="Z249"/>
  <c r="AB249"/>
  <c r="AC249"/>
  <c r="AD249"/>
  <c r="AF249"/>
  <c r="AG249"/>
  <c r="AH249"/>
  <c r="AJ249"/>
  <c r="AK249"/>
  <c r="AL249"/>
  <c r="AO249"/>
  <c r="AW249" s="1"/>
  <c r="AP249"/>
  <c r="K249" s="1"/>
  <c r="AX249"/>
  <c r="BD249"/>
  <c r="BF249"/>
  <c r="BH249"/>
  <c r="BI249"/>
  <c r="AE249" s="1"/>
  <c r="BJ249"/>
  <c r="J250"/>
  <c r="K250"/>
  <c r="L250"/>
  <c r="AL250" s="1"/>
  <c r="Z250"/>
  <c r="AB250"/>
  <c r="AC250"/>
  <c r="AF250"/>
  <c r="AG250"/>
  <c r="AH250"/>
  <c r="AJ250"/>
  <c r="AK250"/>
  <c r="AO250"/>
  <c r="AP250"/>
  <c r="AW250"/>
  <c r="AV250" s="1"/>
  <c r="AX250"/>
  <c r="BD250"/>
  <c r="BF250"/>
  <c r="BH250"/>
  <c r="AD250" s="1"/>
  <c r="BI250"/>
  <c r="AE250" s="1"/>
  <c r="BJ250"/>
  <c r="L251"/>
  <c r="Z251"/>
  <c r="AB251"/>
  <c r="AC251"/>
  <c r="AD251"/>
  <c r="AF251"/>
  <c r="AG251"/>
  <c r="AH251"/>
  <c r="AJ251"/>
  <c r="AK251"/>
  <c r="AL251"/>
  <c r="AO251"/>
  <c r="AW251" s="1"/>
  <c r="AP251"/>
  <c r="AX251" s="1"/>
  <c r="BD251"/>
  <c r="BF251"/>
  <c r="BH251"/>
  <c r="BI251"/>
  <c r="AE251" s="1"/>
  <c r="BJ251"/>
  <c r="K252"/>
  <c r="L252"/>
  <c r="AL252" s="1"/>
  <c r="Z252"/>
  <c r="AB252"/>
  <c r="AC252"/>
  <c r="AF252"/>
  <c r="AG252"/>
  <c r="AH252"/>
  <c r="AJ252"/>
  <c r="AK252"/>
  <c r="AO252"/>
  <c r="J252" s="1"/>
  <c r="AP252"/>
  <c r="AW252"/>
  <c r="AV252" s="1"/>
  <c r="AX252"/>
  <c r="BC252" s="1"/>
  <c r="BD252"/>
  <c r="BF252"/>
  <c r="BH252"/>
  <c r="AD252" s="1"/>
  <c r="BI252"/>
  <c r="AE252" s="1"/>
  <c r="BJ252"/>
  <c r="J253"/>
  <c r="K253"/>
  <c r="L253"/>
  <c r="AL253" s="1"/>
  <c r="Z253"/>
  <c r="AB253"/>
  <c r="AC253"/>
  <c r="AF253"/>
  <c r="AG253"/>
  <c r="AH253"/>
  <c r="AJ253"/>
  <c r="AK253"/>
  <c r="AO253"/>
  <c r="AP253"/>
  <c r="AX253" s="1"/>
  <c r="AV253" s="1"/>
  <c r="AW253"/>
  <c r="BD253"/>
  <c r="BF253"/>
  <c r="BH253"/>
  <c r="AD253" s="1"/>
  <c r="BI253"/>
  <c r="AE253" s="1"/>
  <c r="BJ253"/>
  <c r="L254"/>
  <c r="Z254"/>
  <c r="AB254"/>
  <c r="AC254"/>
  <c r="AF254"/>
  <c r="AG254"/>
  <c r="AH254"/>
  <c r="AJ254"/>
  <c r="AK254"/>
  <c r="AL254"/>
  <c r="AO254"/>
  <c r="BH254" s="1"/>
  <c r="AD254" s="1"/>
  <c r="AP254"/>
  <c r="AX254" s="1"/>
  <c r="BD254"/>
  <c r="BF254"/>
  <c r="BI254"/>
  <c r="AE254" s="1"/>
  <c r="BJ254"/>
  <c r="L255"/>
  <c r="Z255"/>
  <c r="AB255"/>
  <c r="AC255"/>
  <c r="AF255"/>
  <c r="AG255"/>
  <c r="AH255"/>
  <c r="AJ255"/>
  <c r="AK255"/>
  <c r="AL255"/>
  <c r="AO255"/>
  <c r="AW255" s="1"/>
  <c r="AP255"/>
  <c r="AX255" s="1"/>
  <c r="BD255"/>
  <c r="BF255"/>
  <c r="BH255"/>
  <c r="AD255" s="1"/>
  <c r="BI255"/>
  <c r="AE255" s="1"/>
  <c r="BJ255"/>
  <c r="L256"/>
  <c r="Z256"/>
  <c r="AB256"/>
  <c r="AC256"/>
  <c r="AD256"/>
  <c r="AF256"/>
  <c r="AG256"/>
  <c r="AH256"/>
  <c r="AJ256"/>
  <c r="AK256"/>
  <c r="AL256"/>
  <c r="AO256"/>
  <c r="AW256" s="1"/>
  <c r="AP256"/>
  <c r="K256" s="1"/>
  <c r="AX256"/>
  <c r="BD256"/>
  <c r="BF256"/>
  <c r="BH256"/>
  <c r="BI256"/>
  <c r="AE256" s="1"/>
  <c r="BJ256"/>
  <c r="J257"/>
  <c r="K257"/>
  <c r="L257"/>
  <c r="AL257" s="1"/>
  <c r="Z257"/>
  <c r="AB257"/>
  <c r="AC257"/>
  <c r="AF257"/>
  <c r="AG257"/>
  <c r="AH257"/>
  <c r="AJ257"/>
  <c r="AK257"/>
  <c r="AO257"/>
  <c r="AP257"/>
  <c r="AV257"/>
  <c r="AW257"/>
  <c r="BC257" s="1"/>
  <c r="AX257"/>
  <c r="BD257"/>
  <c r="BF257"/>
  <c r="BH257"/>
  <c r="AD257" s="1"/>
  <c r="BI257"/>
  <c r="AE257" s="1"/>
  <c r="BJ257"/>
  <c r="L258"/>
  <c r="Z258"/>
  <c r="AB258"/>
  <c r="AC258"/>
  <c r="AF258"/>
  <c r="AG258"/>
  <c r="AH258"/>
  <c r="AJ258"/>
  <c r="AK258"/>
  <c r="AL258"/>
  <c r="AO258"/>
  <c r="AW258" s="1"/>
  <c r="AP258"/>
  <c r="K258" s="1"/>
  <c r="AX258"/>
  <c r="BD258"/>
  <c r="BF258"/>
  <c r="BH258"/>
  <c r="AD258" s="1"/>
  <c r="BI258"/>
  <c r="AE258" s="1"/>
  <c r="BJ258"/>
  <c r="J259"/>
  <c r="K259"/>
  <c r="L259"/>
  <c r="AL259" s="1"/>
  <c r="Z259"/>
  <c r="AB259"/>
  <c r="AC259"/>
  <c r="AF259"/>
  <c r="AG259"/>
  <c r="AH259"/>
  <c r="AJ259"/>
  <c r="AK259"/>
  <c r="AO259"/>
  <c r="AP259"/>
  <c r="AW259"/>
  <c r="AV259" s="1"/>
  <c r="AX259"/>
  <c r="BC259" s="1"/>
  <c r="BD259"/>
  <c r="BF259"/>
  <c r="BH259"/>
  <c r="AD259" s="1"/>
  <c r="BI259"/>
  <c r="AE259" s="1"/>
  <c r="BJ259"/>
  <c r="L260"/>
  <c r="Z260"/>
  <c r="AB260"/>
  <c r="AC260"/>
  <c r="AE260"/>
  <c r="AF260"/>
  <c r="AG260"/>
  <c r="AH260"/>
  <c r="AJ260"/>
  <c r="AK260"/>
  <c r="AL260"/>
  <c r="AO260"/>
  <c r="AW260" s="1"/>
  <c r="AP260"/>
  <c r="AX260" s="1"/>
  <c r="BD260"/>
  <c r="BF260"/>
  <c r="BH260"/>
  <c r="AD260" s="1"/>
  <c r="BI260"/>
  <c r="BJ260"/>
  <c r="K261"/>
  <c r="L261"/>
  <c r="Z261"/>
  <c r="AB261"/>
  <c r="AC261"/>
  <c r="AD261"/>
  <c r="AF261"/>
  <c r="AG261"/>
  <c r="AH261"/>
  <c r="AJ261"/>
  <c r="AK261"/>
  <c r="AL261"/>
  <c r="AO261"/>
  <c r="AW261" s="1"/>
  <c r="AP261"/>
  <c r="AX261"/>
  <c r="BD261"/>
  <c r="BF261"/>
  <c r="BH261"/>
  <c r="BI261"/>
  <c r="AE261" s="1"/>
  <c r="BJ261"/>
  <c r="J262"/>
  <c r="L262"/>
  <c r="Z262"/>
  <c r="AB262"/>
  <c r="AC262"/>
  <c r="AF262"/>
  <c r="AG262"/>
  <c r="AH262"/>
  <c r="AJ262"/>
  <c r="AK262"/>
  <c r="AL262"/>
  <c r="AO262"/>
  <c r="AP262"/>
  <c r="AX262" s="1"/>
  <c r="AV262" s="1"/>
  <c r="AW262"/>
  <c r="BC262" s="1"/>
  <c r="BD262"/>
  <c r="BF262"/>
  <c r="BH262"/>
  <c r="AD262" s="1"/>
  <c r="BI262"/>
  <c r="AE262" s="1"/>
  <c r="BJ262"/>
  <c r="L263"/>
  <c r="Z263"/>
  <c r="AB263"/>
  <c r="AC263"/>
  <c r="AE263"/>
  <c r="AF263"/>
  <c r="AG263"/>
  <c r="AH263"/>
  <c r="AJ263"/>
  <c r="AK263"/>
  <c r="AL263"/>
  <c r="AO263"/>
  <c r="AW263" s="1"/>
  <c r="AP263"/>
  <c r="AX263" s="1"/>
  <c r="BD263"/>
  <c r="BF263"/>
  <c r="BH263"/>
  <c r="AD263" s="1"/>
  <c r="BI263"/>
  <c r="BJ263"/>
  <c r="K264"/>
  <c r="L264"/>
  <c r="AL264" s="1"/>
  <c r="Z264"/>
  <c r="AB264"/>
  <c r="AC264"/>
  <c r="AF264"/>
  <c r="AG264"/>
  <c r="AH264"/>
  <c r="AJ264"/>
  <c r="AK264"/>
  <c r="AO264"/>
  <c r="J264" s="1"/>
  <c r="AP264"/>
  <c r="AW264"/>
  <c r="AV264" s="1"/>
  <c r="AX264"/>
  <c r="BC264" s="1"/>
  <c r="BD264"/>
  <c r="BF264"/>
  <c r="BH264"/>
  <c r="AD264" s="1"/>
  <c r="BI264"/>
  <c r="AE264" s="1"/>
  <c r="BJ264"/>
  <c r="J265"/>
  <c r="K265"/>
  <c r="L265"/>
  <c r="AL265" s="1"/>
  <c r="Z265"/>
  <c r="AB265"/>
  <c r="AC265"/>
  <c r="AF265"/>
  <c r="AG265"/>
  <c r="AH265"/>
  <c r="AJ265"/>
  <c r="AK265"/>
  <c r="AO265"/>
  <c r="AP265"/>
  <c r="AX265" s="1"/>
  <c r="AW265"/>
  <c r="BD265"/>
  <c r="BF265"/>
  <c r="BH265"/>
  <c r="AD265" s="1"/>
  <c r="BI265"/>
  <c r="AE265" s="1"/>
  <c r="BJ265"/>
  <c r="L266"/>
  <c r="Z266"/>
  <c r="AB266"/>
  <c r="AC266"/>
  <c r="AF266"/>
  <c r="AG266"/>
  <c r="AH266"/>
  <c r="AJ266"/>
  <c r="AK266"/>
  <c r="AL266"/>
  <c r="AO266"/>
  <c r="J266" s="1"/>
  <c r="AP266"/>
  <c r="AX266" s="1"/>
  <c r="BD266"/>
  <c r="BF266"/>
  <c r="BH266"/>
  <c r="AD266" s="1"/>
  <c r="BI266"/>
  <c r="AE266" s="1"/>
  <c r="BJ266"/>
  <c r="L267"/>
  <c r="Z267"/>
  <c r="AB267"/>
  <c r="AC267"/>
  <c r="AD267"/>
  <c r="AE267"/>
  <c r="AF267"/>
  <c r="AG267"/>
  <c r="AH267"/>
  <c r="AJ267"/>
  <c r="AK267"/>
  <c r="AL267"/>
  <c r="AO267"/>
  <c r="AW267" s="1"/>
  <c r="AP267"/>
  <c r="K267" s="1"/>
  <c r="AX267"/>
  <c r="BD267"/>
  <c r="BF267"/>
  <c r="BI267"/>
  <c r="BJ267"/>
  <c r="K269"/>
  <c r="L269"/>
  <c r="AL269" s="1"/>
  <c r="Z269"/>
  <c r="AB269"/>
  <c r="AC269"/>
  <c r="AF269"/>
  <c r="AG269"/>
  <c r="AH269"/>
  <c r="AJ269"/>
  <c r="AS268" s="1"/>
  <c r="AK269"/>
  <c r="AO269"/>
  <c r="J269" s="1"/>
  <c r="AP269"/>
  <c r="AW269"/>
  <c r="AX269"/>
  <c r="BD269"/>
  <c r="BF269"/>
  <c r="BH269"/>
  <c r="AD269" s="1"/>
  <c r="BI269"/>
  <c r="AE269" s="1"/>
  <c r="BJ269"/>
  <c r="L271"/>
  <c r="AL271" s="1"/>
  <c r="Z271"/>
  <c r="AB271"/>
  <c r="AC271"/>
  <c r="AF271"/>
  <c r="AG271"/>
  <c r="AH271"/>
  <c r="AJ271"/>
  <c r="AK271"/>
  <c r="AO271"/>
  <c r="AW271" s="1"/>
  <c r="AP271"/>
  <c r="K271" s="1"/>
  <c r="AX271"/>
  <c r="BD271"/>
  <c r="BF271"/>
  <c r="BH271"/>
  <c r="AD271" s="1"/>
  <c r="BI271"/>
  <c r="AE271" s="1"/>
  <c r="BJ271"/>
  <c r="L273"/>
  <c r="AL273" s="1"/>
  <c r="Z273"/>
  <c r="AB273"/>
  <c r="AC273"/>
  <c r="AF273"/>
  <c r="AG273"/>
  <c r="AH273"/>
  <c r="AJ273"/>
  <c r="AK273"/>
  <c r="AO273"/>
  <c r="AW273" s="1"/>
  <c r="AP273"/>
  <c r="K273" s="1"/>
  <c r="AX273"/>
  <c r="BD273"/>
  <c r="BF273"/>
  <c r="BH273"/>
  <c r="AD273" s="1"/>
  <c r="BI273"/>
  <c r="AE273" s="1"/>
  <c r="BJ273"/>
  <c r="L275"/>
  <c r="L49" i="4" s="1"/>
  <c r="N49" s="1"/>
  <c r="AS275" i="5"/>
  <c r="AT275"/>
  <c r="L276"/>
  <c r="Z276"/>
  <c r="AB276"/>
  <c r="AC276"/>
  <c r="AD276"/>
  <c r="AE276"/>
  <c r="AF276"/>
  <c r="AG276"/>
  <c r="AH276"/>
  <c r="AJ276"/>
  <c r="AK276"/>
  <c r="AL276"/>
  <c r="AU275" s="1"/>
  <c r="AO276"/>
  <c r="AW276" s="1"/>
  <c r="AP276"/>
  <c r="AX276" s="1"/>
  <c r="BD276"/>
  <c r="BF276"/>
  <c r="BH276"/>
  <c r="BI276"/>
  <c r="BJ276"/>
  <c r="AT278"/>
  <c r="L279"/>
  <c r="AL279" s="1"/>
  <c r="Z279"/>
  <c r="AB279"/>
  <c r="AC279"/>
  <c r="AF279"/>
  <c r="AG279"/>
  <c r="AH279"/>
  <c r="AJ279"/>
  <c r="AS278" s="1"/>
  <c r="AK279"/>
  <c r="AO279"/>
  <c r="AW279" s="1"/>
  <c r="AP279"/>
  <c r="BI279" s="1"/>
  <c r="AE279" s="1"/>
  <c r="BD279"/>
  <c r="BF279"/>
  <c r="BH279"/>
  <c r="AD279" s="1"/>
  <c r="BJ279"/>
  <c r="J281"/>
  <c r="L281"/>
  <c r="AL281" s="1"/>
  <c r="Z281"/>
  <c r="AB281"/>
  <c r="AC281"/>
  <c r="AF281"/>
  <c r="AG281"/>
  <c r="AH281"/>
  <c r="AJ281"/>
  <c r="AK281"/>
  <c r="AO281"/>
  <c r="AW281" s="1"/>
  <c r="AP281"/>
  <c r="AX281" s="1"/>
  <c r="BD281"/>
  <c r="BF281"/>
  <c r="BH281"/>
  <c r="AD281" s="1"/>
  <c r="BI281"/>
  <c r="AE281" s="1"/>
  <c r="BJ281"/>
  <c r="L283"/>
  <c r="Z283"/>
  <c r="AB283"/>
  <c r="AC283"/>
  <c r="AD283"/>
  <c r="AF283"/>
  <c r="AG283"/>
  <c r="AH283"/>
  <c r="AJ283"/>
  <c r="AK283"/>
  <c r="AL283"/>
  <c r="AO283"/>
  <c r="AW283" s="1"/>
  <c r="AP283"/>
  <c r="AX283" s="1"/>
  <c r="BD283"/>
  <c r="BF283"/>
  <c r="BH283"/>
  <c r="BI283"/>
  <c r="AE283" s="1"/>
  <c r="BJ283"/>
  <c r="AT285"/>
  <c r="L286"/>
  <c r="AL286" s="1"/>
  <c r="Z286"/>
  <c r="AB286"/>
  <c r="AC286"/>
  <c r="AF286"/>
  <c r="AG286"/>
  <c r="AH286"/>
  <c r="AJ286"/>
  <c r="AS285" s="1"/>
  <c r="AK286"/>
  <c r="AO286"/>
  <c r="BH286" s="1"/>
  <c r="AD286" s="1"/>
  <c r="AP286"/>
  <c r="AX286" s="1"/>
  <c r="BD286"/>
  <c r="BF286"/>
  <c r="BI286"/>
  <c r="AE286" s="1"/>
  <c r="BJ286"/>
  <c r="J288"/>
  <c r="K288"/>
  <c r="L288"/>
  <c r="AL288" s="1"/>
  <c r="Z288"/>
  <c r="AB288"/>
  <c r="AC288"/>
  <c r="AF288"/>
  <c r="AG288"/>
  <c r="AH288"/>
  <c r="AJ288"/>
  <c r="AK288"/>
  <c r="AO288"/>
  <c r="AW288" s="1"/>
  <c r="AP288"/>
  <c r="AX288"/>
  <c r="BD288"/>
  <c r="BF288"/>
  <c r="BH288"/>
  <c r="AD288" s="1"/>
  <c r="BI288"/>
  <c r="AE288" s="1"/>
  <c r="BJ288"/>
  <c r="J291"/>
  <c r="L291"/>
  <c r="Z291"/>
  <c r="AB291"/>
  <c r="AC291"/>
  <c r="AF291"/>
  <c r="AG291"/>
  <c r="AH291"/>
  <c r="AJ291"/>
  <c r="AK291"/>
  <c r="AL291"/>
  <c r="AO291"/>
  <c r="AP291"/>
  <c r="AX291" s="1"/>
  <c r="BC291" s="1"/>
  <c r="AW291"/>
  <c r="AV291" s="1"/>
  <c r="BD291"/>
  <c r="BF291"/>
  <c r="BH291"/>
  <c r="AD291" s="1"/>
  <c r="BI291"/>
  <c r="AE291" s="1"/>
  <c r="BJ291"/>
  <c r="J293"/>
  <c r="K293"/>
  <c r="L293"/>
  <c r="AL293" s="1"/>
  <c r="Z293"/>
  <c r="AB293"/>
  <c r="AC293"/>
  <c r="AF293"/>
  <c r="AG293"/>
  <c r="AH293"/>
  <c r="AJ293"/>
  <c r="AK293"/>
  <c r="AO293"/>
  <c r="AP293"/>
  <c r="AW293"/>
  <c r="AV293" s="1"/>
  <c r="AX293"/>
  <c r="BC293" s="1"/>
  <c r="BD293"/>
  <c r="BF293"/>
  <c r="BH293"/>
  <c r="AD293" s="1"/>
  <c r="BI293"/>
  <c r="AE293" s="1"/>
  <c r="BJ293"/>
  <c r="J295"/>
  <c r="L295"/>
  <c r="AL295" s="1"/>
  <c r="Z295"/>
  <c r="AB295"/>
  <c r="AC295"/>
  <c r="AF295"/>
  <c r="AG295"/>
  <c r="AH295"/>
  <c r="AJ295"/>
  <c r="AK295"/>
  <c r="AO295"/>
  <c r="AP295"/>
  <c r="AX295" s="1"/>
  <c r="AV295" s="1"/>
  <c r="AW295"/>
  <c r="BD295"/>
  <c r="BF295"/>
  <c r="BH295"/>
  <c r="AD295" s="1"/>
  <c r="BI295"/>
  <c r="AE295" s="1"/>
  <c r="BJ295"/>
  <c r="L297"/>
  <c r="Z297"/>
  <c r="AB297"/>
  <c r="AC297"/>
  <c r="AF297"/>
  <c r="AG297"/>
  <c r="AH297"/>
  <c r="AJ297"/>
  <c r="AK297"/>
  <c r="AL297"/>
  <c r="AO297"/>
  <c r="AW297" s="1"/>
  <c r="AP297"/>
  <c r="AX297" s="1"/>
  <c r="BD297"/>
  <c r="BF297"/>
  <c r="BH297"/>
  <c r="AD297" s="1"/>
  <c r="BI297"/>
  <c r="AE297" s="1"/>
  <c r="BJ297"/>
  <c r="L299"/>
  <c r="Z299"/>
  <c r="AB299"/>
  <c r="AC299"/>
  <c r="AF299"/>
  <c r="AG299"/>
  <c r="AH299"/>
  <c r="AJ299"/>
  <c r="AK299"/>
  <c r="AL299"/>
  <c r="AO299"/>
  <c r="AW299" s="1"/>
  <c r="AP299"/>
  <c r="AX299" s="1"/>
  <c r="BD299"/>
  <c r="BF299"/>
  <c r="BH299"/>
  <c r="AD299" s="1"/>
  <c r="BI299"/>
  <c r="AE299" s="1"/>
  <c r="BJ299"/>
  <c r="L301"/>
  <c r="Z301"/>
  <c r="AB301"/>
  <c r="AC301"/>
  <c r="AF301"/>
  <c r="AG301"/>
  <c r="AH301"/>
  <c r="AJ301"/>
  <c r="AK301"/>
  <c r="AT290" s="1"/>
  <c r="AL301"/>
  <c r="AO301"/>
  <c r="AW301" s="1"/>
  <c r="AP301"/>
  <c r="K301" s="1"/>
  <c r="AX301"/>
  <c r="BD301"/>
  <c r="BF301"/>
  <c r="BH301"/>
  <c r="AD301" s="1"/>
  <c r="BI301"/>
  <c r="AE301" s="1"/>
  <c r="BJ301"/>
  <c r="L303"/>
  <c r="L54" i="4" s="1"/>
  <c r="N54" s="1"/>
  <c r="AS303" i="5"/>
  <c r="L304"/>
  <c r="Z304"/>
  <c r="AB304"/>
  <c r="AC304"/>
  <c r="AF304"/>
  <c r="AG304"/>
  <c r="AH304"/>
  <c r="AJ304"/>
  <c r="AK304"/>
  <c r="AT303" s="1"/>
  <c r="AL304"/>
  <c r="AU303" s="1"/>
  <c r="AO304"/>
  <c r="AW304" s="1"/>
  <c r="AP304"/>
  <c r="AX304" s="1"/>
  <c r="BD304"/>
  <c r="BF304"/>
  <c r="BH304"/>
  <c r="AD304" s="1"/>
  <c r="BI304"/>
  <c r="AE304" s="1"/>
  <c r="BJ304"/>
  <c r="L306"/>
  <c r="L55" i="4" s="1"/>
  <c r="N55" s="1"/>
  <c r="AS306" i="5"/>
  <c r="L307"/>
  <c r="Z307"/>
  <c r="AC307"/>
  <c r="AD307"/>
  <c r="AE307"/>
  <c r="AF307"/>
  <c r="AG307"/>
  <c r="AH307"/>
  <c r="AJ307"/>
  <c r="AK307"/>
  <c r="AT306" s="1"/>
  <c r="AL307"/>
  <c r="AU306" s="1"/>
  <c r="AO307"/>
  <c r="BH307" s="1"/>
  <c r="AB307" s="1"/>
  <c r="AP307"/>
  <c r="AX307" s="1"/>
  <c r="K33" i="3" s="1"/>
  <c r="BD307" i="5"/>
  <c r="BF307"/>
  <c r="BI307"/>
  <c r="BJ307"/>
  <c r="K311"/>
  <c r="L311"/>
  <c r="Z311"/>
  <c r="AB311"/>
  <c r="AC311"/>
  <c r="AF311"/>
  <c r="AG311"/>
  <c r="AH311"/>
  <c r="AJ311"/>
  <c r="AK311"/>
  <c r="AL311"/>
  <c r="AO311"/>
  <c r="AW311" s="1"/>
  <c r="AP311"/>
  <c r="AX311" s="1"/>
  <c r="BD311"/>
  <c r="BF311"/>
  <c r="BH311"/>
  <c r="AD311" s="1"/>
  <c r="BI311"/>
  <c r="AE311" s="1"/>
  <c r="BJ311"/>
  <c r="L313"/>
  <c r="Z313"/>
  <c r="AB313"/>
  <c r="AC313"/>
  <c r="AF313"/>
  <c r="AG313"/>
  <c r="AH313"/>
  <c r="AJ313"/>
  <c r="AK313"/>
  <c r="AL313"/>
  <c r="AO313"/>
  <c r="AW313" s="1"/>
  <c r="AP313"/>
  <c r="AX313" s="1"/>
  <c r="BD313"/>
  <c r="BF313"/>
  <c r="BH313"/>
  <c r="AD313" s="1"/>
  <c r="BI313"/>
  <c r="AE313" s="1"/>
  <c r="BJ313"/>
  <c r="J315"/>
  <c r="K315"/>
  <c r="L315"/>
  <c r="AL315" s="1"/>
  <c r="Z315"/>
  <c r="AB315"/>
  <c r="AC315"/>
  <c r="AF315"/>
  <c r="AG315"/>
  <c r="AH315"/>
  <c r="AJ315"/>
  <c r="AK315"/>
  <c r="AO315"/>
  <c r="AP315"/>
  <c r="AW315"/>
  <c r="AV315" s="1"/>
  <c r="AX315"/>
  <c r="BC315" s="1"/>
  <c r="BD315"/>
  <c r="BF315"/>
  <c r="BH315"/>
  <c r="AD315" s="1"/>
  <c r="BI315"/>
  <c r="AE315" s="1"/>
  <c r="BJ315"/>
  <c r="J317"/>
  <c r="K317"/>
  <c r="L317"/>
  <c r="AL317" s="1"/>
  <c r="Z317"/>
  <c r="AB317"/>
  <c r="AC317"/>
  <c r="AF317"/>
  <c r="AG317"/>
  <c r="AH317"/>
  <c r="AJ317"/>
  <c r="AK317"/>
  <c r="AO317"/>
  <c r="AP317"/>
  <c r="AV317"/>
  <c r="AW317"/>
  <c r="BC317" s="1"/>
  <c r="AX317"/>
  <c r="BD317"/>
  <c r="BF317"/>
  <c r="BH317"/>
  <c r="AD317" s="1"/>
  <c r="BI317"/>
  <c r="AE317" s="1"/>
  <c r="BJ317"/>
  <c r="L320"/>
  <c r="Z320"/>
  <c r="AB320"/>
  <c r="AC320"/>
  <c r="AF320"/>
  <c r="AG320"/>
  <c r="AH320"/>
  <c r="AJ320"/>
  <c r="AK320"/>
  <c r="AL320"/>
  <c r="AO320"/>
  <c r="AW320" s="1"/>
  <c r="AP320"/>
  <c r="AX320" s="1"/>
  <c r="BD320"/>
  <c r="BF320"/>
  <c r="BH320"/>
  <c r="AD320" s="1"/>
  <c r="BI320"/>
  <c r="AE320" s="1"/>
  <c r="BJ320"/>
  <c r="L322"/>
  <c r="Z322"/>
  <c r="AB322"/>
  <c r="AC322"/>
  <c r="AF322"/>
  <c r="AG322"/>
  <c r="AH322"/>
  <c r="AJ322"/>
  <c r="AK322"/>
  <c r="AL322"/>
  <c r="AO322"/>
  <c r="AW322" s="1"/>
  <c r="AP322"/>
  <c r="AX322" s="1"/>
  <c r="BD322"/>
  <c r="BF322"/>
  <c r="BH322"/>
  <c r="AD322" s="1"/>
  <c r="BI322"/>
  <c r="AE322" s="1"/>
  <c r="BJ322"/>
  <c r="L324"/>
  <c r="Z324"/>
  <c r="AB324"/>
  <c r="AC324"/>
  <c r="AF324"/>
  <c r="AG324"/>
  <c r="AH324"/>
  <c r="AJ324"/>
  <c r="AK324"/>
  <c r="AL324"/>
  <c r="AO324"/>
  <c r="AW324" s="1"/>
  <c r="AP324"/>
  <c r="AX324" s="1"/>
  <c r="BD324"/>
  <c r="BF324"/>
  <c r="BH324"/>
  <c r="AD324" s="1"/>
  <c r="BI324"/>
  <c r="AE324" s="1"/>
  <c r="BJ324"/>
  <c r="L326"/>
  <c r="AL326" s="1"/>
  <c r="Z326"/>
  <c r="AB326"/>
  <c r="AC326"/>
  <c r="AE326"/>
  <c r="AF326"/>
  <c r="AG326"/>
  <c r="AH326"/>
  <c r="AJ326"/>
  <c r="AK326"/>
  <c r="AO326"/>
  <c r="AW326" s="1"/>
  <c r="AP326"/>
  <c r="K326" s="1"/>
  <c r="AX326"/>
  <c r="BD326"/>
  <c r="BF326"/>
  <c r="BH326"/>
  <c r="AD326" s="1"/>
  <c r="BI326"/>
  <c r="BJ326"/>
  <c r="J328"/>
  <c r="K328"/>
  <c r="L328"/>
  <c r="AL328" s="1"/>
  <c r="Z328"/>
  <c r="AB328"/>
  <c r="AC328"/>
  <c r="AF328"/>
  <c r="AG328"/>
  <c r="AH328"/>
  <c r="AJ328"/>
  <c r="AK328"/>
  <c r="AO328"/>
  <c r="AP328"/>
  <c r="AW328"/>
  <c r="BC328" s="1"/>
  <c r="AX328"/>
  <c r="AV328" s="1"/>
  <c r="BD328"/>
  <c r="BF328"/>
  <c r="BH328"/>
  <c r="AD328" s="1"/>
  <c r="BI328"/>
  <c r="AE328" s="1"/>
  <c r="BJ328"/>
  <c r="L330"/>
  <c r="Z330"/>
  <c r="AB330"/>
  <c r="AC330"/>
  <c r="AF330"/>
  <c r="AG330"/>
  <c r="AH330"/>
  <c r="AJ330"/>
  <c r="AK330"/>
  <c r="AL330"/>
  <c r="AO330"/>
  <c r="AW330" s="1"/>
  <c r="AP330"/>
  <c r="AX330" s="1"/>
  <c r="BD330"/>
  <c r="BF330"/>
  <c r="BH330"/>
  <c r="AD330" s="1"/>
  <c r="BI330"/>
  <c r="AE330" s="1"/>
  <c r="BJ330"/>
  <c r="L332"/>
  <c r="Z332"/>
  <c r="AB332"/>
  <c r="AC332"/>
  <c r="AF332"/>
  <c r="AG332"/>
  <c r="AH332"/>
  <c r="AJ332"/>
  <c r="AK332"/>
  <c r="AL332"/>
  <c r="AO332"/>
  <c r="AW332" s="1"/>
  <c r="AP332"/>
  <c r="AX332" s="1"/>
  <c r="BD332"/>
  <c r="BF332"/>
  <c r="BH332"/>
  <c r="AD332" s="1"/>
  <c r="BI332"/>
  <c r="AE332" s="1"/>
  <c r="BJ332"/>
  <c r="L334"/>
  <c r="AL334" s="1"/>
  <c r="Z334"/>
  <c r="AB334"/>
  <c r="AC334"/>
  <c r="AF334"/>
  <c r="AG334"/>
  <c r="AH334"/>
  <c r="AJ334"/>
  <c r="AK334"/>
  <c r="AO334"/>
  <c r="AW334" s="1"/>
  <c r="AP334"/>
  <c r="K334" s="1"/>
  <c r="AX334"/>
  <c r="BD334"/>
  <c r="BF334"/>
  <c r="BH334"/>
  <c r="AD334" s="1"/>
  <c r="BI334"/>
  <c r="AE334" s="1"/>
  <c r="BJ334"/>
  <c r="L336"/>
  <c r="AL336" s="1"/>
  <c r="Z336"/>
  <c r="AB336"/>
  <c r="AC336"/>
  <c r="AF336"/>
  <c r="AG336"/>
  <c r="AH336"/>
  <c r="AJ336"/>
  <c r="AK336"/>
  <c r="AO336"/>
  <c r="AW336" s="1"/>
  <c r="AP336"/>
  <c r="K336" s="1"/>
  <c r="AX336"/>
  <c r="BD336"/>
  <c r="BF336"/>
  <c r="BH336"/>
  <c r="AD336" s="1"/>
  <c r="BJ336"/>
  <c r="L338"/>
  <c r="AL338" s="1"/>
  <c r="Z338"/>
  <c r="AB338"/>
  <c r="AC338"/>
  <c r="AF338"/>
  <c r="AG338"/>
  <c r="AH338"/>
  <c r="AJ338"/>
  <c r="AK338"/>
  <c r="AO338"/>
  <c r="AW338" s="1"/>
  <c r="AP338"/>
  <c r="K338" s="1"/>
  <c r="AX338"/>
  <c r="BD338"/>
  <c r="BF338"/>
  <c r="BH338"/>
  <c r="AD338" s="1"/>
  <c r="BI338"/>
  <c r="AE338" s="1"/>
  <c r="BJ338"/>
  <c r="K340"/>
  <c r="L340"/>
  <c r="Z340"/>
  <c r="AB340"/>
  <c r="AC340"/>
  <c r="AD340"/>
  <c r="AF340"/>
  <c r="AG340"/>
  <c r="AH340"/>
  <c r="AJ340"/>
  <c r="AK340"/>
  <c r="AL340"/>
  <c r="AO340"/>
  <c r="J340" s="1"/>
  <c r="AP340"/>
  <c r="AW340"/>
  <c r="AV340" s="1"/>
  <c r="AX340"/>
  <c r="BC340"/>
  <c r="BD340"/>
  <c r="BF340"/>
  <c r="BH340"/>
  <c r="BI340"/>
  <c r="AE340" s="1"/>
  <c r="BJ340"/>
  <c r="L342"/>
  <c r="Z342"/>
  <c r="AB342"/>
  <c r="AC342"/>
  <c r="AF342"/>
  <c r="AG342"/>
  <c r="AH342"/>
  <c r="AJ342"/>
  <c r="AK342"/>
  <c r="AL342"/>
  <c r="AO342"/>
  <c r="AW342" s="1"/>
  <c r="AP342"/>
  <c r="AX342" s="1"/>
  <c r="BD342"/>
  <c r="BF342"/>
  <c r="BH342"/>
  <c r="AD342" s="1"/>
  <c r="BI342"/>
  <c r="AE342" s="1"/>
  <c r="BJ342"/>
  <c r="L345"/>
  <c r="Z345"/>
  <c r="AB345"/>
  <c r="AC345"/>
  <c r="AF345"/>
  <c r="AG345"/>
  <c r="AH345"/>
  <c r="AJ345"/>
  <c r="AK345"/>
  <c r="AL345"/>
  <c r="AO345"/>
  <c r="AW345" s="1"/>
  <c r="AP345"/>
  <c r="K345" s="1"/>
  <c r="BD345"/>
  <c r="BF345"/>
  <c r="BH345"/>
  <c r="AD345" s="1"/>
  <c r="BI345"/>
  <c r="AE345" s="1"/>
  <c r="BJ345"/>
  <c r="K347"/>
  <c r="L347"/>
  <c r="Z347"/>
  <c r="AB347"/>
  <c r="AC347"/>
  <c r="AF347"/>
  <c r="AG347"/>
  <c r="AH347"/>
  <c r="AJ347"/>
  <c r="AK347"/>
  <c r="AO347"/>
  <c r="J347" s="1"/>
  <c r="AP347"/>
  <c r="AW347"/>
  <c r="AV347" s="1"/>
  <c r="AX347"/>
  <c r="BC347" s="1"/>
  <c r="BD347"/>
  <c r="BF347"/>
  <c r="BH347"/>
  <c r="AD347" s="1"/>
  <c r="BI347"/>
  <c r="AE347" s="1"/>
  <c r="BJ347"/>
  <c r="K349"/>
  <c r="L349"/>
  <c r="AL349" s="1"/>
  <c r="Z349"/>
  <c r="AB349"/>
  <c r="AC349"/>
  <c r="AF349"/>
  <c r="AG349"/>
  <c r="AH349"/>
  <c r="AJ349"/>
  <c r="AK349"/>
  <c r="AO349"/>
  <c r="J349" s="1"/>
  <c r="AP349"/>
  <c r="AW349"/>
  <c r="AV349" s="1"/>
  <c r="AX349"/>
  <c r="BC349" s="1"/>
  <c r="BD349"/>
  <c r="BF349"/>
  <c r="BH349"/>
  <c r="AD349" s="1"/>
  <c r="BI349"/>
  <c r="AE349" s="1"/>
  <c r="BJ349"/>
  <c r="J351"/>
  <c r="L351"/>
  <c r="AL351" s="1"/>
  <c r="Z351"/>
  <c r="AB351"/>
  <c r="AC351"/>
  <c r="AF351"/>
  <c r="AG351"/>
  <c r="AH351"/>
  <c r="AJ351"/>
  <c r="AK351"/>
  <c r="AO351"/>
  <c r="AW351" s="1"/>
  <c r="AP351"/>
  <c r="AX351" s="1"/>
  <c r="BD351"/>
  <c r="BF351"/>
  <c r="BH351"/>
  <c r="AD351" s="1"/>
  <c r="BI351"/>
  <c r="AE351" s="1"/>
  <c r="BJ351"/>
  <c r="J354"/>
  <c r="K354"/>
  <c r="L354"/>
  <c r="L353" s="1"/>
  <c r="L60" i="4" s="1"/>
  <c r="N60" s="1"/>
  <c r="Z354" i="5"/>
  <c r="AB354"/>
  <c r="AC354"/>
  <c r="AD354"/>
  <c r="AE354"/>
  <c r="AF354"/>
  <c r="AG354"/>
  <c r="AH354"/>
  <c r="AJ354"/>
  <c r="AK354"/>
  <c r="AO354"/>
  <c r="AP354"/>
  <c r="AV354"/>
  <c r="AW354"/>
  <c r="AX354"/>
  <c r="BD354"/>
  <c r="BF354"/>
  <c r="BH354"/>
  <c r="BI354"/>
  <c r="BJ354"/>
  <c r="L356"/>
  <c r="Z356"/>
  <c r="AB356"/>
  <c r="AD356"/>
  <c r="AE356"/>
  <c r="AF356"/>
  <c r="AG356"/>
  <c r="AH356"/>
  <c r="AJ356"/>
  <c r="AS353" s="1"/>
  <c r="AK356"/>
  <c r="AL356"/>
  <c r="AO356"/>
  <c r="AW356" s="1"/>
  <c r="AP356"/>
  <c r="AX356" s="1"/>
  <c r="BD356"/>
  <c r="BF356"/>
  <c r="BH356"/>
  <c r="BI356"/>
  <c r="AC356" s="1"/>
  <c r="BJ356"/>
  <c r="K360"/>
  <c r="L360"/>
  <c r="Z360"/>
  <c r="AB360"/>
  <c r="AC360"/>
  <c r="AF360"/>
  <c r="AG360"/>
  <c r="AH360"/>
  <c r="AJ360"/>
  <c r="AK360"/>
  <c r="AL360"/>
  <c r="AO360"/>
  <c r="J360" s="1"/>
  <c r="AP360"/>
  <c r="AW360"/>
  <c r="AV360" s="1"/>
  <c r="AX360"/>
  <c r="BC360"/>
  <c r="BD360"/>
  <c r="BF360"/>
  <c r="BH360"/>
  <c r="AD360" s="1"/>
  <c r="BI360"/>
  <c r="AE360" s="1"/>
  <c r="BJ360"/>
  <c r="L362"/>
  <c r="L359" s="1"/>
  <c r="Z362"/>
  <c r="AB362"/>
  <c r="AC362"/>
  <c r="AD362"/>
  <c r="AF362"/>
  <c r="AG362"/>
  <c r="AH362"/>
  <c r="AJ362"/>
  <c r="AK362"/>
  <c r="AL362"/>
  <c r="AO362"/>
  <c r="AW362" s="1"/>
  <c r="AP362"/>
  <c r="AX362" s="1"/>
  <c r="BD362"/>
  <c r="BF362"/>
  <c r="BH362"/>
  <c r="BI362"/>
  <c r="AE362" s="1"/>
  <c r="BJ362"/>
  <c r="J365"/>
  <c r="K365"/>
  <c r="L365"/>
  <c r="L364" s="1"/>
  <c r="L63" i="4" s="1"/>
  <c r="N63" s="1"/>
  <c r="Z365" i="5"/>
  <c r="AB365"/>
  <c r="AC365"/>
  <c r="AF365"/>
  <c r="AG365"/>
  <c r="AH365"/>
  <c r="AJ365"/>
  <c r="AK365"/>
  <c r="AO365"/>
  <c r="AP365"/>
  <c r="AX365" s="1"/>
  <c r="AW365"/>
  <c r="BD365"/>
  <c r="BF365"/>
  <c r="BH365"/>
  <c r="AD365" s="1"/>
  <c r="BI365"/>
  <c r="AE365" s="1"/>
  <c r="BJ365"/>
  <c r="J367"/>
  <c r="K367"/>
  <c r="L367"/>
  <c r="AL367" s="1"/>
  <c r="Z367"/>
  <c r="AB367"/>
  <c r="AC367"/>
  <c r="AF367"/>
  <c r="AG367"/>
  <c r="AH367"/>
  <c r="AJ367"/>
  <c r="AK367"/>
  <c r="AO367"/>
  <c r="AP367"/>
  <c r="AX367" s="1"/>
  <c r="AW367"/>
  <c r="BD367"/>
  <c r="BF367"/>
  <c r="BH367"/>
  <c r="AD367" s="1"/>
  <c r="BI367"/>
  <c r="AE367" s="1"/>
  <c r="BJ367"/>
  <c r="L369"/>
  <c r="Z369"/>
  <c r="AB369"/>
  <c r="AC369"/>
  <c r="AF369"/>
  <c r="AG369"/>
  <c r="AH369"/>
  <c r="AJ369"/>
  <c r="AK369"/>
  <c r="AL369"/>
  <c r="AO369"/>
  <c r="J369" s="1"/>
  <c r="AP369"/>
  <c r="AX369" s="1"/>
  <c r="BD369"/>
  <c r="BF369"/>
  <c r="BH369"/>
  <c r="AD369" s="1"/>
  <c r="BI369"/>
  <c r="AE369" s="1"/>
  <c r="BJ369"/>
  <c r="L371"/>
  <c r="Z371"/>
  <c r="AB371"/>
  <c r="AC371"/>
  <c r="AF371"/>
  <c r="AG371"/>
  <c r="AH371"/>
  <c r="AJ371"/>
  <c r="AK371"/>
  <c r="AL371"/>
  <c r="AO371"/>
  <c r="AW371" s="1"/>
  <c r="AP371"/>
  <c r="AX371" s="1"/>
  <c r="BD371"/>
  <c r="BF371"/>
  <c r="BH371"/>
  <c r="AD371" s="1"/>
  <c r="BI371"/>
  <c r="AE371" s="1"/>
  <c r="BJ371"/>
  <c r="K374"/>
  <c r="L374"/>
  <c r="Z374"/>
  <c r="AB374"/>
  <c r="AC374"/>
  <c r="AD374"/>
  <c r="AF374"/>
  <c r="AG374"/>
  <c r="AH374"/>
  <c r="AJ374"/>
  <c r="AK374"/>
  <c r="AL374"/>
  <c r="AO374"/>
  <c r="AW374" s="1"/>
  <c r="AP374"/>
  <c r="AX374" s="1"/>
  <c r="BD374"/>
  <c r="BF374"/>
  <c r="BH374"/>
  <c r="BI374"/>
  <c r="AE374" s="1"/>
  <c r="BJ374"/>
  <c r="J376"/>
  <c r="K376"/>
  <c r="L376"/>
  <c r="L373" s="1"/>
  <c r="L64" i="4" s="1"/>
  <c r="N64" s="1"/>
  <c r="Z376" i="5"/>
  <c r="AB376"/>
  <c r="AC376"/>
  <c r="AF376"/>
  <c r="AG376"/>
  <c r="AH376"/>
  <c r="AJ376"/>
  <c r="AK376"/>
  <c r="AL376"/>
  <c r="AO376"/>
  <c r="AP376"/>
  <c r="AX376" s="1"/>
  <c r="AV376" s="1"/>
  <c r="AW376"/>
  <c r="BD376"/>
  <c r="BF376"/>
  <c r="BH376"/>
  <c r="AD376" s="1"/>
  <c r="BI376"/>
  <c r="AE376" s="1"/>
  <c r="BJ376"/>
  <c r="J378"/>
  <c r="L378"/>
  <c r="Z378"/>
  <c r="AB378"/>
  <c r="AC378"/>
  <c r="AF378"/>
  <c r="AG378"/>
  <c r="AH378"/>
  <c r="AJ378"/>
  <c r="AK378"/>
  <c r="AL378"/>
  <c r="AO378"/>
  <c r="AW378" s="1"/>
  <c r="AP378"/>
  <c r="AX378" s="1"/>
  <c r="BD378"/>
  <c r="BF378"/>
  <c r="BH378"/>
  <c r="AD378" s="1"/>
  <c r="BI378"/>
  <c r="AE378" s="1"/>
  <c r="BJ378"/>
  <c r="J381"/>
  <c r="L381"/>
  <c r="Z381"/>
  <c r="AB381"/>
  <c r="AC381"/>
  <c r="AE381"/>
  <c r="AF381"/>
  <c r="AG381"/>
  <c r="AH381"/>
  <c r="AJ381"/>
  <c r="AK381"/>
  <c r="AL381"/>
  <c r="AO381"/>
  <c r="AW381" s="1"/>
  <c r="AP381"/>
  <c r="AX381" s="1"/>
  <c r="BD381"/>
  <c r="BF381"/>
  <c r="BH381"/>
  <c r="AD381" s="1"/>
  <c r="BI381"/>
  <c r="BJ381"/>
  <c r="J383"/>
  <c r="K383"/>
  <c r="L383"/>
  <c r="AL383" s="1"/>
  <c r="Z383"/>
  <c r="AB383"/>
  <c r="AC383"/>
  <c r="AF383"/>
  <c r="AG383"/>
  <c r="AH383"/>
  <c r="AJ383"/>
  <c r="AK383"/>
  <c r="AO383"/>
  <c r="AP383"/>
  <c r="AV383"/>
  <c r="AW383"/>
  <c r="BC383" s="1"/>
  <c r="AX383"/>
  <c r="BD383"/>
  <c r="BF383"/>
  <c r="BH383"/>
  <c r="AD383" s="1"/>
  <c r="BI383"/>
  <c r="AE383" s="1"/>
  <c r="BJ383"/>
  <c r="L385"/>
  <c r="Z385"/>
  <c r="AB385"/>
  <c r="AC385"/>
  <c r="AD385"/>
  <c r="AF385"/>
  <c r="AG385"/>
  <c r="AH385"/>
  <c r="AJ385"/>
  <c r="AK385"/>
  <c r="AL385"/>
  <c r="AO385"/>
  <c r="AW385" s="1"/>
  <c r="AP385"/>
  <c r="AX385" s="1"/>
  <c r="BD385"/>
  <c r="BF385"/>
  <c r="BH385"/>
  <c r="BI385"/>
  <c r="AE385" s="1"/>
  <c r="BJ385"/>
  <c r="J387"/>
  <c r="L387"/>
  <c r="Z387"/>
  <c r="AB387"/>
  <c r="AC387"/>
  <c r="AF387"/>
  <c r="AG387"/>
  <c r="AH387"/>
  <c r="AJ387"/>
  <c r="AK387"/>
  <c r="AL387"/>
  <c r="AO387"/>
  <c r="AW387" s="1"/>
  <c r="AP387"/>
  <c r="K387" s="1"/>
  <c r="AX387"/>
  <c r="BD387"/>
  <c r="BF387"/>
  <c r="BH387"/>
  <c r="AD387" s="1"/>
  <c r="BI387"/>
  <c r="AE387" s="1"/>
  <c r="BJ387"/>
  <c r="J389"/>
  <c r="K389"/>
  <c r="L389"/>
  <c r="AL389" s="1"/>
  <c r="Z389"/>
  <c r="AB389"/>
  <c r="AC389"/>
  <c r="AF389"/>
  <c r="AG389"/>
  <c r="AH389"/>
  <c r="AJ389"/>
  <c r="AK389"/>
  <c r="AO389"/>
  <c r="AP389"/>
  <c r="AV389"/>
  <c r="AW389"/>
  <c r="BC389" s="1"/>
  <c r="AX389"/>
  <c r="BD389"/>
  <c r="BF389"/>
  <c r="BH389"/>
  <c r="AD389" s="1"/>
  <c r="BI389"/>
  <c r="AE389" s="1"/>
  <c r="BJ389"/>
  <c r="J391"/>
  <c r="L391"/>
  <c r="AL391" s="1"/>
  <c r="Z391"/>
  <c r="AB391"/>
  <c r="AC391"/>
  <c r="AF391"/>
  <c r="AG391"/>
  <c r="AH391"/>
  <c r="AJ391"/>
  <c r="AK391"/>
  <c r="AO391"/>
  <c r="AW391" s="1"/>
  <c r="AP391"/>
  <c r="K391" s="1"/>
  <c r="AX391"/>
  <c r="BD391"/>
  <c r="BF391"/>
  <c r="BH391"/>
  <c r="AD391" s="1"/>
  <c r="BI391"/>
  <c r="AE391" s="1"/>
  <c r="BJ391"/>
  <c r="J393"/>
  <c r="K393"/>
  <c r="L393"/>
  <c r="AL393" s="1"/>
  <c r="Z393"/>
  <c r="AB393"/>
  <c r="AC393"/>
  <c r="AF393"/>
  <c r="AG393"/>
  <c r="AH393"/>
  <c r="AJ393"/>
  <c r="AK393"/>
  <c r="AO393"/>
  <c r="AP393"/>
  <c r="AW393"/>
  <c r="AV393" s="1"/>
  <c r="AX393"/>
  <c r="BD393"/>
  <c r="BF393"/>
  <c r="BH393"/>
  <c r="AD393" s="1"/>
  <c r="BI393"/>
  <c r="AE393" s="1"/>
  <c r="BJ393"/>
  <c r="J396"/>
  <c r="L396"/>
  <c r="AL396" s="1"/>
  <c r="Z396"/>
  <c r="AB396"/>
  <c r="AC396"/>
  <c r="AF396"/>
  <c r="AG396"/>
  <c r="AH396"/>
  <c r="AJ396"/>
  <c r="AK396"/>
  <c r="AO396"/>
  <c r="AP396"/>
  <c r="BI396" s="1"/>
  <c r="AE396" s="1"/>
  <c r="AW396"/>
  <c r="BD396"/>
  <c r="BF396"/>
  <c r="BH396"/>
  <c r="AD396" s="1"/>
  <c r="BJ396"/>
  <c r="L398"/>
  <c r="Z398"/>
  <c r="AB398"/>
  <c r="AC398"/>
  <c r="AF398"/>
  <c r="AG398"/>
  <c r="AH398"/>
  <c r="AJ398"/>
  <c r="AK398"/>
  <c r="AO398"/>
  <c r="AW398" s="1"/>
  <c r="AP398"/>
  <c r="K398" s="1"/>
  <c r="AX398"/>
  <c r="BD398"/>
  <c r="BF398"/>
  <c r="BH398"/>
  <c r="AD398" s="1"/>
  <c r="BI398"/>
  <c r="AE398" s="1"/>
  <c r="BJ398"/>
  <c r="L400"/>
  <c r="AL400" s="1"/>
  <c r="Z400"/>
  <c r="AB400"/>
  <c r="AC400"/>
  <c r="AF400"/>
  <c r="AG400"/>
  <c r="AH400"/>
  <c r="AJ400"/>
  <c r="AK400"/>
  <c r="AO400"/>
  <c r="AW400" s="1"/>
  <c r="AP400"/>
  <c r="K400" s="1"/>
  <c r="AX400"/>
  <c r="BD400"/>
  <c r="BF400"/>
  <c r="BH400"/>
  <c r="AD400" s="1"/>
  <c r="BI400"/>
  <c r="AE400" s="1"/>
  <c r="BJ400"/>
  <c r="K402"/>
  <c r="L402"/>
  <c r="Z402"/>
  <c r="AB402"/>
  <c r="AC402"/>
  <c r="AF402"/>
  <c r="AG402"/>
  <c r="AH402"/>
  <c r="AJ402"/>
  <c r="AK402"/>
  <c r="AL402"/>
  <c r="AO402"/>
  <c r="J402" s="1"/>
  <c r="AP402"/>
  <c r="AW402"/>
  <c r="BC402" s="1"/>
  <c r="AX402"/>
  <c r="BD402"/>
  <c r="BF402"/>
  <c r="BH402"/>
  <c r="AD402" s="1"/>
  <c r="BI402"/>
  <c r="AE402" s="1"/>
  <c r="BJ402"/>
  <c r="L404"/>
  <c r="AL404" s="1"/>
  <c r="Z404"/>
  <c r="AB404"/>
  <c r="AC404"/>
  <c r="AF404"/>
  <c r="AG404"/>
  <c r="AH404"/>
  <c r="AJ404"/>
  <c r="AK404"/>
  <c r="AO404"/>
  <c r="AW404" s="1"/>
  <c r="AP404"/>
  <c r="K404" s="1"/>
  <c r="AX404"/>
  <c r="BD404"/>
  <c r="BF404"/>
  <c r="BH404"/>
  <c r="AD404" s="1"/>
  <c r="BI404"/>
  <c r="AE404" s="1"/>
  <c r="BJ404"/>
  <c r="K406"/>
  <c r="L406"/>
  <c r="Z406"/>
  <c r="AB406"/>
  <c r="AC406"/>
  <c r="AF406"/>
  <c r="AG406"/>
  <c r="AH406"/>
  <c r="AJ406"/>
  <c r="AK406"/>
  <c r="AL406"/>
  <c r="AO406"/>
  <c r="J406" s="1"/>
  <c r="AP406"/>
  <c r="AW406"/>
  <c r="AV406" s="1"/>
  <c r="AX406"/>
  <c r="BD406"/>
  <c r="BF406"/>
  <c r="BH406"/>
  <c r="AD406" s="1"/>
  <c r="BI406"/>
  <c r="AE406" s="1"/>
  <c r="BJ406"/>
  <c r="K408"/>
  <c r="L408"/>
  <c r="Z408"/>
  <c r="AB408"/>
  <c r="AC408"/>
  <c r="AF408"/>
  <c r="AG408"/>
  <c r="AH408"/>
  <c r="AJ408"/>
  <c r="AK408"/>
  <c r="AL408"/>
  <c r="AO408"/>
  <c r="J408" s="1"/>
  <c r="AP408"/>
  <c r="AW408"/>
  <c r="BC408" s="1"/>
  <c r="AX408"/>
  <c r="BD408"/>
  <c r="BF408"/>
  <c r="BH408"/>
  <c r="AD408" s="1"/>
  <c r="BI408"/>
  <c r="AE408" s="1"/>
  <c r="BJ408"/>
  <c r="K410"/>
  <c r="L410"/>
  <c r="Z410"/>
  <c r="AB410"/>
  <c r="AC410"/>
  <c r="AF410"/>
  <c r="AG410"/>
  <c r="AH410"/>
  <c r="AJ410"/>
  <c r="AK410"/>
  <c r="AL410"/>
  <c r="AO410"/>
  <c r="J410" s="1"/>
  <c r="AP410"/>
  <c r="AW410"/>
  <c r="AV410" s="1"/>
  <c r="AX410"/>
  <c r="BD410"/>
  <c r="BF410"/>
  <c r="BH410"/>
  <c r="AD410" s="1"/>
  <c r="BI410"/>
  <c r="AE410" s="1"/>
  <c r="BJ410"/>
  <c r="K412"/>
  <c r="L412"/>
  <c r="Z412"/>
  <c r="AB412"/>
  <c r="AC412"/>
  <c r="AF412"/>
  <c r="AG412"/>
  <c r="AH412"/>
  <c r="AJ412"/>
  <c r="AK412"/>
  <c r="AL412"/>
  <c r="AO412"/>
  <c r="J412" s="1"/>
  <c r="AP412"/>
  <c r="AW412"/>
  <c r="BC412" s="1"/>
  <c r="AX412"/>
  <c r="BD412"/>
  <c r="BF412"/>
  <c r="BH412"/>
  <c r="AD412" s="1"/>
  <c r="BI412"/>
  <c r="AE412" s="1"/>
  <c r="BJ412"/>
  <c r="J414"/>
  <c r="K414"/>
  <c r="L414"/>
  <c r="Z414"/>
  <c r="AB414"/>
  <c r="AC414"/>
  <c r="AF414"/>
  <c r="AG414"/>
  <c r="AH414"/>
  <c r="AJ414"/>
  <c r="AK414"/>
  <c r="AL414"/>
  <c r="AO414"/>
  <c r="AP414"/>
  <c r="AX414" s="1"/>
  <c r="AV414" s="1"/>
  <c r="AW414"/>
  <c r="BD414"/>
  <c r="BF414"/>
  <c r="BH414"/>
  <c r="AD414" s="1"/>
  <c r="BI414"/>
  <c r="AE414" s="1"/>
  <c r="BJ414"/>
  <c r="K416"/>
  <c r="L416"/>
  <c r="Z416"/>
  <c r="AB416"/>
  <c r="AC416"/>
  <c r="AF416"/>
  <c r="AG416"/>
  <c r="AH416"/>
  <c r="AJ416"/>
  <c r="AK416"/>
  <c r="AL416"/>
  <c r="AO416"/>
  <c r="J416" s="1"/>
  <c r="AP416"/>
  <c r="AW416"/>
  <c r="BC416" s="1"/>
  <c r="AX416"/>
  <c r="BD416"/>
  <c r="BF416"/>
  <c r="BH416"/>
  <c r="AD416" s="1"/>
  <c r="BI416"/>
  <c r="AE416" s="1"/>
  <c r="BJ416"/>
  <c r="K418"/>
  <c r="L418"/>
  <c r="Z418"/>
  <c r="AB418"/>
  <c r="AC418"/>
  <c r="AF418"/>
  <c r="AG418"/>
  <c r="AH418"/>
  <c r="AJ418"/>
  <c r="AK418"/>
  <c r="AL418"/>
  <c r="AO418"/>
  <c r="J418" s="1"/>
  <c r="AP418"/>
  <c r="AW418"/>
  <c r="AV418" s="1"/>
  <c r="AX418"/>
  <c r="BD418"/>
  <c r="BF418"/>
  <c r="BH418"/>
  <c r="AD418" s="1"/>
  <c r="BI418"/>
  <c r="AE418" s="1"/>
  <c r="BJ418"/>
  <c r="K420"/>
  <c r="L420"/>
  <c r="Z420"/>
  <c r="AB420"/>
  <c r="AC420"/>
  <c r="AF420"/>
  <c r="AG420"/>
  <c r="AH420"/>
  <c r="AJ420"/>
  <c r="AK420"/>
  <c r="AL420"/>
  <c r="AO420"/>
  <c r="J420" s="1"/>
  <c r="AP420"/>
  <c r="AW420"/>
  <c r="BC420" s="1"/>
  <c r="AX420"/>
  <c r="BD420"/>
  <c r="BF420"/>
  <c r="BI420"/>
  <c r="AE420" s="1"/>
  <c r="BJ420"/>
  <c r="L422"/>
  <c r="L67" i="4" s="1"/>
  <c r="N67" s="1"/>
  <c r="AS422" i="5"/>
  <c r="J423"/>
  <c r="K423"/>
  <c r="L423"/>
  <c r="Z423"/>
  <c r="AB423"/>
  <c r="AC423"/>
  <c r="AD423"/>
  <c r="AE423"/>
  <c r="AF423"/>
  <c r="AG423"/>
  <c r="AH423"/>
  <c r="AJ423"/>
  <c r="AK423"/>
  <c r="AL423"/>
  <c r="AO423"/>
  <c r="AP423"/>
  <c r="AV423"/>
  <c r="AW423"/>
  <c r="BC423" s="1"/>
  <c r="AX423"/>
  <c r="K42" i="3" s="1"/>
  <c r="BD423" i="5"/>
  <c r="BF423"/>
  <c r="BH423"/>
  <c r="BI423"/>
  <c r="BJ423"/>
  <c r="K425"/>
  <c r="L425"/>
  <c r="Z425"/>
  <c r="AB425"/>
  <c r="AC425"/>
  <c r="AD425"/>
  <c r="AE425"/>
  <c r="AF425"/>
  <c r="AG425"/>
  <c r="AH425"/>
  <c r="AJ425"/>
  <c r="AK425"/>
  <c r="AL425"/>
  <c r="AO425"/>
  <c r="AW425" s="1"/>
  <c r="AP425"/>
  <c r="AX425"/>
  <c r="BD425"/>
  <c r="BF425"/>
  <c r="BH425"/>
  <c r="BI425"/>
  <c r="BJ425"/>
  <c r="K428"/>
  <c r="L428"/>
  <c r="AL428" s="1"/>
  <c r="Z428"/>
  <c r="AB428"/>
  <c r="AC428"/>
  <c r="AF428"/>
  <c r="AG428"/>
  <c r="AH428"/>
  <c r="AJ428"/>
  <c r="AK428"/>
  <c r="AO428"/>
  <c r="J428" s="1"/>
  <c r="AP428"/>
  <c r="AW428"/>
  <c r="AV428" s="1"/>
  <c r="AX428"/>
  <c r="BD428"/>
  <c r="BF428"/>
  <c r="BH428"/>
  <c r="AD428" s="1"/>
  <c r="BI428"/>
  <c r="AE428" s="1"/>
  <c r="BJ428"/>
  <c r="J430"/>
  <c r="K430"/>
  <c r="L430"/>
  <c r="AL430" s="1"/>
  <c r="Z430"/>
  <c r="AB430"/>
  <c r="AC430"/>
  <c r="AF430"/>
  <c r="AG430"/>
  <c r="AH430"/>
  <c r="AJ430"/>
  <c r="AK430"/>
  <c r="AO430"/>
  <c r="AP430"/>
  <c r="AW430"/>
  <c r="AV430" s="1"/>
  <c r="AX430"/>
  <c r="BC430" s="1"/>
  <c r="BD430"/>
  <c r="BF430"/>
  <c r="BH430"/>
  <c r="AD430" s="1"/>
  <c r="BI430"/>
  <c r="AE430" s="1"/>
  <c r="BJ430"/>
  <c r="J432"/>
  <c r="K432"/>
  <c r="L432"/>
  <c r="AL432" s="1"/>
  <c r="Z432"/>
  <c r="AB432"/>
  <c r="AC432"/>
  <c r="AF432"/>
  <c r="AG432"/>
  <c r="AH432"/>
  <c r="AJ432"/>
  <c r="AK432"/>
  <c r="AO432"/>
  <c r="AP432"/>
  <c r="AX432" s="1"/>
  <c r="AV432" s="1"/>
  <c r="AW432"/>
  <c r="BD432"/>
  <c r="BF432"/>
  <c r="BH432"/>
  <c r="AD432" s="1"/>
  <c r="BI432"/>
  <c r="AE432" s="1"/>
  <c r="BJ432"/>
  <c r="K434"/>
  <c r="L434"/>
  <c r="Z434"/>
  <c r="AB434"/>
  <c r="AC434"/>
  <c r="AF434"/>
  <c r="AG434"/>
  <c r="AH434"/>
  <c r="AJ434"/>
  <c r="AK434"/>
  <c r="AL434"/>
  <c r="AO434"/>
  <c r="AW434" s="1"/>
  <c r="AP434"/>
  <c r="AX434" s="1"/>
  <c r="BD434"/>
  <c r="BF434"/>
  <c r="BH434"/>
  <c r="AD434" s="1"/>
  <c r="BI434"/>
  <c r="AE434" s="1"/>
  <c r="BJ434"/>
  <c r="J438"/>
  <c r="L438"/>
  <c r="AL438" s="1"/>
  <c r="Z438"/>
  <c r="AB438"/>
  <c r="AC438"/>
  <c r="AD438"/>
  <c r="AE438"/>
  <c r="AF438"/>
  <c r="AH438"/>
  <c r="AJ438"/>
  <c r="AK438"/>
  <c r="AO438"/>
  <c r="AP438"/>
  <c r="K438" s="1"/>
  <c r="AW438"/>
  <c r="AX438"/>
  <c r="BD438"/>
  <c r="BF438"/>
  <c r="BH438"/>
  <c r="BI438"/>
  <c r="AG438" s="1"/>
  <c r="BJ438"/>
  <c r="L439"/>
  <c r="AL439" s="1"/>
  <c r="Z439"/>
  <c r="AB439"/>
  <c r="AC439"/>
  <c r="AD439"/>
  <c r="AE439"/>
  <c r="AH439"/>
  <c r="AJ439"/>
  <c r="AK439"/>
  <c r="AO439"/>
  <c r="AW439" s="1"/>
  <c r="AP439"/>
  <c r="K439" s="1"/>
  <c r="AX439"/>
  <c r="BD439"/>
  <c r="BF439"/>
  <c r="BH439"/>
  <c r="AF439" s="1"/>
  <c r="BI439"/>
  <c r="AG439" s="1"/>
  <c r="BJ439"/>
  <c r="L440"/>
  <c r="AL440" s="1"/>
  <c r="Z440"/>
  <c r="AD440"/>
  <c r="AE440"/>
  <c r="AF440"/>
  <c r="AG440"/>
  <c r="AH440"/>
  <c r="AJ440"/>
  <c r="AK440"/>
  <c r="AO440"/>
  <c r="AW440" s="1"/>
  <c r="AP440"/>
  <c r="AX440" s="1"/>
  <c r="BD440"/>
  <c r="BF440"/>
  <c r="BH440"/>
  <c r="AB440" s="1"/>
  <c r="BI440"/>
  <c r="AC440" s="1"/>
  <c r="BJ440"/>
  <c r="L441"/>
  <c r="AL441" s="1"/>
  <c r="Z441"/>
  <c r="AD441"/>
  <c r="AE441"/>
  <c r="AF441"/>
  <c r="AG441"/>
  <c r="AH441"/>
  <c r="AJ441"/>
  <c r="AK441"/>
  <c r="AO441"/>
  <c r="AW441" s="1"/>
  <c r="AP441"/>
  <c r="AX441" s="1"/>
  <c r="BD441"/>
  <c r="BF441"/>
  <c r="BH441"/>
  <c r="AB441" s="1"/>
  <c r="BI441"/>
  <c r="AC441" s="1"/>
  <c r="BJ441"/>
  <c r="L442"/>
  <c r="AL442" s="1"/>
  <c r="Z442"/>
  <c r="AD442"/>
  <c r="AE442"/>
  <c r="AF442"/>
  <c r="AG442"/>
  <c r="AH442"/>
  <c r="AJ442"/>
  <c r="AK442"/>
  <c r="AO442"/>
  <c r="AW442" s="1"/>
  <c r="AP442"/>
  <c r="AX442" s="1"/>
  <c r="BD442"/>
  <c r="BF442"/>
  <c r="BH442"/>
  <c r="AB442" s="1"/>
  <c r="BI442"/>
  <c r="AC442" s="1"/>
  <c r="BJ442"/>
  <c r="L443"/>
  <c r="AL443" s="1"/>
  <c r="Z443"/>
  <c r="AD443"/>
  <c r="AE443"/>
  <c r="AF443"/>
  <c r="AG443"/>
  <c r="AH443"/>
  <c r="AJ443"/>
  <c r="AK443"/>
  <c r="AO443"/>
  <c r="AW443" s="1"/>
  <c r="AP443"/>
  <c r="AX443" s="1"/>
  <c r="BD443"/>
  <c r="BF443"/>
  <c r="BH443"/>
  <c r="AB443" s="1"/>
  <c r="BI443"/>
  <c r="AC443" s="1"/>
  <c r="BJ443"/>
  <c r="L444"/>
  <c r="AL444" s="1"/>
  <c r="Z444"/>
  <c r="AD444"/>
  <c r="AE444"/>
  <c r="AF444"/>
  <c r="AG444"/>
  <c r="AH444"/>
  <c r="AJ444"/>
  <c r="AK444"/>
  <c r="AO444"/>
  <c r="BH444" s="1"/>
  <c r="AB444" s="1"/>
  <c r="AP444"/>
  <c r="AX444" s="1"/>
  <c r="BD444"/>
  <c r="BF444"/>
  <c r="BI444"/>
  <c r="AC444" s="1"/>
  <c r="BJ444"/>
  <c r="J445"/>
  <c r="L445"/>
  <c r="AL445" s="1"/>
  <c r="Z445"/>
  <c r="AB445"/>
  <c r="AD445"/>
  <c r="AE445"/>
  <c r="AF445"/>
  <c r="AG445"/>
  <c r="AH445"/>
  <c r="AJ445"/>
  <c r="AK445"/>
  <c r="AO445"/>
  <c r="AP445"/>
  <c r="AX445" s="1"/>
  <c r="AW445"/>
  <c r="BD445"/>
  <c r="BF445"/>
  <c r="BH445"/>
  <c r="BI445"/>
  <c r="AC445" s="1"/>
  <c r="BJ445"/>
  <c r="J446"/>
  <c r="K446"/>
  <c r="L446"/>
  <c r="Z446"/>
  <c r="AB446"/>
  <c r="AC446"/>
  <c r="AD446"/>
  <c r="AE446"/>
  <c r="AF446"/>
  <c r="AG446"/>
  <c r="AH446"/>
  <c r="AJ446"/>
  <c r="AK446"/>
  <c r="AL446"/>
  <c r="AO446"/>
  <c r="AW446" s="1"/>
  <c r="AP446"/>
  <c r="AX446" s="1"/>
  <c r="BD446"/>
  <c r="BF446"/>
  <c r="BH446"/>
  <c r="BI446"/>
  <c r="BJ446"/>
  <c r="J447"/>
  <c r="L447"/>
  <c r="AL447" s="1"/>
  <c r="Z447"/>
  <c r="AB447"/>
  <c r="AC447"/>
  <c r="AD447"/>
  <c r="AE447"/>
  <c r="AF447"/>
  <c r="AH447"/>
  <c r="AJ447"/>
  <c r="AK447"/>
  <c r="AO447"/>
  <c r="AP447"/>
  <c r="AX447" s="1"/>
  <c r="AW447"/>
  <c r="BD447"/>
  <c r="BF447"/>
  <c r="BH447"/>
  <c r="BI447"/>
  <c r="AG447" s="1"/>
  <c r="BJ447"/>
  <c r="J448"/>
  <c r="K448"/>
  <c r="L448"/>
  <c r="Z448"/>
  <c r="AB448"/>
  <c r="AC448"/>
  <c r="AD448"/>
  <c r="AE448"/>
  <c r="AF448"/>
  <c r="AG448"/>
  <c r="AH448"/>
  <c r="AJ448"/>
  <c r="AK448"/>
  <c r="AL448"/>
  <c r="AO448"/>
  <c r="AW448" s="1"/>
  <c r="AP448"/>
  <c r="AX448"/>
  <c r="BD448"/>
  <c r="BF448"/>
  <c r="BH448"/>
  <c r="BI448"/>
  <c r="BJ448"/>
  <c r="L449"/>
  <c r="AL449" s="1"/>
  <c r="Z449"/>
  <c r="AD449"/>
  <c r="AE449"/>
  <c r="AF449"/>
  <c r="AG449"/>
  <c r="AH449"/>
  <c r="AJ449"/>
  <c r="AK449"/>
  <c r="AO449"/>
  <c r="AW449" s="1"/>
  <c r="AP449"/>
  <c r="AX449" s="1"/>
  <c r="BD449"/>
  <c r="BF449"/>
  <c r="BH449"/>
  <c r="AB449" s="1"/>
  <c r="BJ449"/>
  <c r="J450"/>
  <c r="L450"/>
  <c r="AL450" s="1"/>
  <c r="Z450"/>
  <c r="AB450"/>
  <c r="AD450"/>
  <c r="AE450"/>
  <c r="AF450"/>
  <c r="AG450"/>
  <c r="AH450"/>
  <c r="AJ450"/>
  <c r="AK450"/>
  <c r="AO450"/>
  <c r="AP450"/>
  <c r="AX450" s="1"/>
  <c r="AW450"/>
  <c r="BD450"/>
  <c r="BF450"/>
  <c r="BH450"/>
  <c r="BI450"/>
  <c r="AC450" s="1"/>
  <c r="BJ450"/>
  <c r="J451"/>
  <c r="K451"/>
  <c r="L451"/>
  <c r="Z451"/>
  <c r="AB451"/>
  <c r="AC451"/>
  <c r="AD451"/>
  <c r="AE451"/>
  <c r="AF451"/>
  <c r="AG451"/>
  <c r="AH451"/>
  <c r="AJ451"/>
  <c r="AK451"/>
  <c r="AL451"/>
  <c r="AO451"/>
  <c r="AW451" s="1"/>
  <c r="AP451"/>
  <c r="AX451" s="1"/>
  <c r="BD451"/>
  <c r="BF451"/>
  <c r="BH451"/>
  <c r="BI451"/>
  <c r="BJ451"/>
  <c r="J452"/>
  <c r="L452"/>
  <c r="AL452" s="1"/>
  <c r="Z452"/>
  <c r="AB452"/>
  <c r="AC452"/>
  <c r="AD452"/>
  <c r="AE452"/>
  <c r="AF452"/>
  <c r="AH452"/>
  <c r="AJ452"/>
  <c r="AK452"/>
  <c r="AO452"/>
  <c r="AP452"/>
  <c r="AX452" s="1"/>
  <c r="AW452"/>
  <c r="BD452"/>
  <c r="BF452"/>
  <c r="BH452"/>
  <c r="BI452"/>
  <c r="AG452" s="1"/>
  <c r="BJ452"/>
  <c r="J453"/>
  <c r="K453"/>
  <c r="L453"/>
  <c r="Z453"/>
  <c r="AB453"/>
  <c r="AC453"/>
  <c r="AD453"/>
  <c r="AE453"/>
  <c r="AF453"/>
  <c r="AG453"/>
  <c r="AH453"/>
  <c r="AJ453"/>
  <c r="AK453"/>
  <c r="AL453"/>
  <c r="AO453"/>
  <c r="AW453" s="1"/>
  <c r="AP453"/>
  <c r="AX453" s="1"/>
  <c r="BD453"/>
  <c r="BF453"/>
  <c r="BH453"/>
  <c r="BI453"/>
  <c r="BJ453"/>
  <c r="J454"/>
  <c r="L454"/>
  <c r="Z454"/>
  <c r="AB454"/>
  <c r="AD454"/>
  <c r="AE454"/>
  <c r="AF454"/>
  <c r="AG454"/>
  <c r="AH454"/>
  <c r="AJ454"/>
  <c r="AK454"/>
  <c r="AL454"/>
  <c r="AO454"/>
  <c r="AP454"/>
  <c r="BI454" s="1"/>
  <c r="AC454" s="1"/>
  <c r="AW454"/>
  <c r="BD454"/>
  <c r="BF454"/>
  <c r="BH454"/>
  <c r="BJ454"/>
  <c r="J455"/>
  <c r="K455"/>
  <c r="L455"/>
  <c r="Z455"/>
  <c r="AB455"/>
  <c r="AC455"/>
  <c r="AD455"/>
  <c r="AE455"/>
  <c r="AF455"/>
  <c r="AG455"/>
  <c r="AH455"/>
  <c r="AJ455"/>
  <c r="AK455"/>
  <c r="AL455"/>
  <c r="AO455"/>
  <c r="AW455" s="1"/>
  <c r="AP455"/>
  <c r="AX455" s="1"/>
  <c r="BD455"/>
  <c r="BF455"/>
  <c r="BH455"/>
  <c r="BI455"/>
  <c r="BJ455"/>
  <c r="J456"/>
  <c r="L456"/>
  <c r="Z456"/>
  <c r="AB456"/>
  <c r="AD456"/>
  <c r="AE456"/>
  <c r="AF456"/>
  <c r="AG456"/>
  <c r="AH456"/>
  <c r="AJ456"/>
  <c r="AK456"/>
  <c r="AL456"/>
  <c r="AO456"/>
  <c r="AP456"/>
  <c r="AX456" s="1"/>
  <c r="AW456"/>
  <c r="BD456"/>
  <c r="BF456"/>
  <c r="BH456"/>
  <c r="BI456"/>
  <c r="AC456" s="1"/>
  <c r="BJ456"/>
  <c r="J457"/>
  <c r="L457"/>
  <c r="AL457" s="1"/>
  <c r="Z457"/>
  <c r="AB457"/>
  <c r="AD457"/>
  <c r="AE457"/>
  <c r="AF457"/>
  <c r="AG457"/>
  <c r="AH457"/>
  <c r="AJ457"/>
  <c r="AK457"/>
  <c r="AO457"/>
  <c r="AP457"/>
  <c r="AX457" s="1"/>
  <c r="AW457"/>
  <c r="BD457"/>
  <c r="BF457"/>
  <c r="BH457"/>
  <c r="BI457"/>
  <c r="AC457" s="1"/>
  <c r="BJ457"/>
  <c r="AT458"/>
  <c r="L459"/>
  <c r="AL459" s="1"/>
  <c r="Z459"/>
  <c r="AB459"/>
  <c r="AC459"/>
  <c r="AD459"/>
  <c r="AE459"/>
  <c r="AH459"/>
  <c r="AJ459"/>
  <c r="AS458" s="1"/>
  <c r="AK459"/>
  <c r="AO459"/>
  <c r="AW459" s="1"/>
  <c r="AP459"/>
  <c r="K459" s="1"/>
  <c r="AX459"/>
  <c r="BD459"/>
  <c r="BF459"/>
  <c r="BH459"/>
  <c r="AF459" s="1"/>
  <c r="BI459"/>
  <c r="AG459" s="1"/>
  <c r="BJ459"/>
  <c r="L460"/>
  <c r="AL460" s="1"/>
  <c r="Z460"/>
  <c r="AB460"/>
  <c r="AC460"/>
  <c r="AD460"/>
  <c r="AE460"/>
  <c r="AH460"/>
  <c r="AJ460"/>
  <c r="AK460"/>
  <c r="AO460"/>
  <c r="AW460" s="1"/>
  <c r="AP460"/>
  <c r="K460" s="1"/>
  <c r="AX460"/>
  <c r="BD460"/>
  <c r="BF460"/>
  <c r="BI460"/>
  <c r="AG460" s="1"/>
  <c r="BJ460"/>
  <c r="L461"/>
  <c r="AL461" s="1"/>
  <c r="Z461"/>
  <c r="AB461"/>
  <c r="AC461"/>
  <c r="AD461"/>
  <c r="AE461"/>
  <c r="AH461"/>
  <c r="AJ461"/>
  <c r="AK461"/>
  <c r="AO461"/>
  <c r="AW461" s="1"/>
  <c r="AP461"/>
  <c r="K461" s="1"/>
  <c r="AX461"/>
  <c r="BD461"/>
  <c r="BF461"/>
  <c r="BH461"/>
  <c r="AF461" s="1"/>
  <c r="BI461"/>
  <c r="AG461" s="1"/>
  <c r="BJ461"/>
  <c r="K462"/>
  <c r="L462"/>
  <c r="AL462" s="1"/>
  <c r="Z462"/>
  <c r="AC462"/>
  <c r="AD462"/>
  <c r="AE462"/>
  <c r="AF462"/>
  <c r="AG462"/>
  <c r="AH462"/>
  <c r="AJ462"/>
  <c r="AK462"/>
  <c r="AO462"/>
  <c r="J462" s="1"/>
  <c r="AP462"/>
  <c r="AW462"/>
  <c r="AV462" s="1"/>
  <c r="AX462"/>
  <c r="BD462"/>
  <c r="BF462"/>
  <c r="BI462"/>
  <c r="BJ462"/>
  <c r="L463"/>
  <c r="AL463" s="1"/>
  <c r="Z463"/>
  <c r="AB463"/>
  <c r="AC463"/>
  <c r="AD463"/>
  <c r="AE463"/>
  <c r="AH463"/>
  <c r="AJ463"/>
  <c r="AK463"/>
  <c r="AO463"/>
  <c r="AW463" s="1"/>
  <c r="AP463"/>
  <c r="K463" s="1"/>
  <c r="AX463"/>
  <c r="BD463"/>
  <c r="BF463"/>
  <c r="BH463"/>
  <c r="AF463" s="1"/>
  <c r="BI463"/>
  <c r="AG463" s="1"/>
  <c r="BJ463"/>
  <c r="J466"/>
  <c r="K466"/>
  <c r="L466"/>
  <c r="Z466"/>
  <c r="AB466"/>
  <c r="AC466"/>
  <c r="AD466"/>
  <c r="AE466"/>
  <c r="AF466"/>
  <c r="AG466"/>
  <c r="AH466"/>
  <c r="AJ466"/>
  <c r="AK466"/>
  <c r="AL466"/>
  <c r="AO466"/>
  <c r="AW466" s="1"/>
  <c r="AP466"/>
  <c r="AX466" s="1"/>
  <c r="BD466"/>
  <c r="BF466"/>
  <c r="BH466"/>
  <c r="BI466"/>
  <c r="BJ466"/>
  <c r="L467"/>
  <c r="AL467" s="1"/>
  <c r="Z467"/>
  <c r="AB467"/>
  <c r="AC467"/>
  <c r="AD467"/>
  <c r="AE467"/>
  <c r="AH467"/>
  <c r="AJ467"/>
  <c r="AK467"/>
  <c r="AO467"/>
  <c r="BH467" s="1"/>
  <c r="AF467" s="1"/>
  <c r="AP467"/>
  <c r="AX467" s="1"/>
  <c r="BD467"/>
  <c r="BF467"/>
  <c r="BJ467"/>
  <c r="K468"/>
  <c r="L468"/>
  <c r="AL468" s="1"/>
  <c r="Z468"/>
  <c r="AB468"/>
  <c r="AC468"/>
  <c r="AD468"/>
  <c r="AE468"/>
  <c r="AG468"/>
  <c r="AH468"/>
  <c r="AJ468"/>
  <c r="AK468"/>
  <c r="AO468"/>
  <c r="J468" s="1"/>
  <c r="AP468"/>
  <c r="AW468"/>
  <c r="AV468" s="1"/>
  <c r="AX468"/>
  <c r="BD468"/>
  <c r="BF468"/>
  <c r="BH468"/>
  <c r="AF468" s="1"/>
  <c r="BI468"/>
  <c r="BJ468"/>
  <c r="L469"/>
  <c r="AL469" s="1"/>
  <c r="Z469"/>
  <c r="AB469"/>
  <c r="AC469"/>
  <c r="AD469"/>
  <c r="AE469"/>
  <c r="AH469"/>
  <c r="AJ469"/>
  <c r="AK469"/>
  <c r="AO469"/>
  <c r="AW469" s="1"/>
  <c r="AP469"/>
  <c r="K469" s="1"/>
  <c r="AX469"/>
  <c r="BD469"/>
  <c r="BF469"/>
  <c r="BH469"/>
  <c r="AF469" s="1"/>
  <c r="BI469"/>
  <c r="AG469" s="1"/>
  <c r="BJ469"/>
  <c r="L470"/>
  <c r="Z470"/>
  <c r="AB470"/>
  <c r="AC470"/>
  <c r="AD470"/>
  <c r="AE470"/>
  <c r="AH470"/>
  <c r="AJ470"/>
  <c r="AK470"/>
  <c r="AL470"/>
  <c r="AO470"/>
  <c r="AW470" s="1"/>
  <c r="AP470"/>
  <c r="K470" s="1"/>
  <c r="BD470"/>
  <c r="BF470"/>
  <c r="BH470"/>
  <c r="AF470" s="1"/>
  <c r="BI470"/>
  <c r="AG470" s="1"/>
  <c r="BJ470"/>
  <c r="K471"/>
  <c r="L471"/>
  <c r="Z471"/>
  <c r="AB471"/>
  <c r="AC471"/>
  <c r="AD471"/>
  <c r="AE471"/>
  <c r="AF471"/>
  <c r="AG471"/>
  <c r="AH471"/>
  <c r="AJ471"/>
  <c r="AK471"/>
  <c r="AL471"/>
  <c r="AO471"/>
  <c r="J471" s="1"/>
  <c r="AP471"/>
  <c r="AX471" s="1"/>
  <c r="BD471"/>
  <c r="BF471"/>
  <c r="BH471"/>
  <c r="BI471"/>
  <c r="BJ471"/>
  <c r="J472"/>
  <c r="K472"/>
  <c r="L472"/>
  <c r="AL472" s="1"/>
  <c r="Z472"/>
  <c r="AC472"/>
  <c r="AD472"/>
  <c r="AE472"/>
  <c r="AF472"/>
  <c r="AG472"/>
  <c r="AH472"/>
  <c r="AJ472"/>
  <c r="AK472"/>
  <c r="AO472"/>
  <c r="BH472" s="1"/>
  <c r="AB472" s="1"/>
  <c r="AP472"/>
  <c r="AV472"/>
  <c r="AW472"/>
  <c r="BC472" s="1"/>
  <c r="AX472"/>
  <c r="BD472"/>
  <c r="BF472"/>
  <c r="BI472"/>
  <c r="BJ472"/>
  <c r="J473"/>
  <c r="L473"/>
  <c r="Z473"/>
  <c r="AB473"/>
  <c r="AC473"/>
  <c r="AD473"/>
  <c r="AE473"/>
  <c r="AF473"/>
  <c r="AG473"/>
  <c r="AH473"/>
  <c r="AJ473"/>
  <c r="AK473"/>
  <c r="AL473"/>
  <c r="AO473"/>
  <c r="AP473"/>
  <c r="AX473" s="1"/>
  <c r="AV473" s="1"/>
  <c r="AW473"/>
  <c r="BD473"/>
  <c r="BF473"/>
  <c r="BH473"/>
  <c r="BI473"/>
  <c r="BJ473"/>
  <c r="L474"/>
  <c r="AL474" s="1"/>
  <c r="Z474"/>
  <c r="AD474"/>
  <c r="AE474"/>
  <c r="AF474"/>
  <c r="AG474"/>
  <c r="AH474"/>
  <c r="AJ474"/>
  <c r="AK474"/>
  <c r="AO474"/>
  <c r="J474" s="1"/>
  <c r="AP474"/>
  <c r="AX474" s="1"/>
  <c r="BD474"/>
  <c r="BF474"/>
  <c r="BH474"/>
  <c r="AB474" s="1"/>
  <c r="BI474"/>
  <c r="AC474" s="1"/>
  <c r="BJ474"/>
  <c r="J475"/>
  <c r="L475"/>
  <c r="AL475" s="1"/>
  <c r="Z475"/>
  <c r="AB475"/>
  <c r="AD475"/>
  <c r="AE475"/>
  <c r="AF475"/>
  <c r="AG475"/>
  <c r="AH475"/>
  <c r="AJ475"/>
  <c r="AK475"/>
  <c r="AO475"/>
  <c r="AW475" s="1"/>
  <c r="AP475"/>
  <c r="AX475" s="1"/>
  <c r="BD475"/>
  <c r="BF475"/>
  <c r="BH475"/>
  <c r="BI475"/>
  <c r="AC475" s="1"/>
  <c r="BJ475"/>
  <c r="K476"/>
  <c r="L476"/>
  <c r="Z476"/>
  <c r="AB476"/>
  <c r="AC476"/>
  <c r="AD476"/>
  <c r="AE476"/>
  <c r="AG476"/>
  <c r="AH476"/>
  <c r="AJ476"/>
  <c r="AK476"/>
  <c r="AL476"/>
  <c r="AO476"/>
  <c r="J476" s="1"/>
  <c r="AP476"/>
  <c r="AX476" s="1"/>
  <c r="BD476"/>
  <c r="BF476"/>
  <c r="BI476"/>
  <c r="BJ476"/>
  <c r="L477"/>
  <c r="AL477" s="1"/>
  <c r="Z477"/>
  <c r="AB477"/>
  <c r="AD477"/>
  <c r="AE477"/>
  <c r="AF477"/>
  <c r="AG477"/>
  <c r="AH477"/>
  <c r="AJ477"/>
  <c r="AK477"/>
  <c r="AO477"/>
  <c r="AW477" s="1"/>
  <c r="AP477"/>
  <c r="K477" s="1"/>
  <c r="AX477"/>
  <c r="BD477"/>
  <c r="BF477"/>
  <c r="BH477"/>
  <c r="BI477"/>
  <c r="AC477" s="1"/>
  <c r="BJ477"/>
  <c r="J478"/>
  <c r="K478"/>
  <c r="L478"/>
  <c r="AL478" s="1"/>
  <c r="Z478"/>
  <c r="AB478"/>
  <c r="AC478"/>
  <c r="AD478"/>
  <c r="AE478"/>
  <c r="AF478"/>
  <c r="AG478"/>
  <c r="AH478"/>
  <c r="AJ478"/>
  <c r="AK478"/>
  <c r="AO478"/>
  <c r="AP478"/>
  <c r="AV478"/>
  <c r="AW478"/>
  <c r="BC478" s="1"/>
  <c r="AX478"/>
  <c r="BD478"/>
  <c r="BF478"/>
  <c r="BH478"/>
  <c r="BI478"/>
  <c r="BJ478"/>
  <c r="K479"/>
  <c r="L479"/>
  <c r="Z479"/>
  <c r="AC479"/>
  <c r="AD479"/>
  <c r="AE479"/>
  <c r="AF479"/>
  <c r="AG479"/>
  <c r="AH479"/>
  <c r="AJ479"/>
  <c r="AK479"/>
  <c r="AL479"/>
  <c r="AO479"/>
  <c r="AW479" s="1"/>
  <c r="AP479"/>
  <c r="AX479" s="1"/>
  <c r="BD479"/>
  <c r="BF479"/>
  <c r="BI479"/>
  <c r="BJ479"/>
  <c r="J480"/>
  <c r="L480"/>
  <c r="AL480" s="1"/>
  <c r="Z480"/>
  <c r="AB480"/>
  <c r="AD480"/>
  <c r="AE480"/>
  <c r="AF480"/>
  <c r="AG480"/>
  <c r="AH480"/>
  <c r="AJ480"/>
  <c r="AK480"/>
  <c r="AO480"/>
  <c r="AP480"/>
  <c r="K480" s="1"/>
  <c r="AW480"/>
  <c r="BD480"/>
  <c r="BF480"/>
  <c r="BH480"/>
  <c r="BI480"/>
  <c r="AC480" s="1"/>
  <c r="BJ480"/>
  <c r="K481"/>
  <c r="L481"/>
  <c r="Z481"/>
  <c r="AC481"/>
  <c r="AD481"/>
  <c r="AE481"/>
  <c r="AF481"/>
  <c r="AG481"/>
  <c r="AH481"/>
  <c r="AJ481"/>
  <c r="AK481"/>
  <c r="AL481"/>
  <c r="AO481"/>
  <c r="J481" s="1"/>
  <c r="AP481"/>
  <c r="AX481" s="1"/>
  <c r="BD481"/>
  <c r="BF481"/>
  <c r="BI481"/>
  <c r="BJ481"/>
  <c r="L482"/>
  <c r="AL482" s="1"/>
  <c r="Z482"/>
  <c r="AB482"/>
  <c r="AD482"/>
  <c r="AE482"/>
  <c r="AF482"/>
  <c r="AG482"/>
  <c r="AH482"/>
  <c r="AJ482"/>
  <c r="AK482"/>
  <c r="AO482"/>
  <c r="AW482" s="1"/>
  <c r="AP482"/>
  <c r="K482" s="1"/>
  <c r="AX482"/>
  <c r="BD482"/>
  <c r="BF482"/>
  <c r="BH482"/>
  <c r="BI482"/>
  <c r="AC482" s="1"/>
  <c r="BJ482"/>
  <c r="J483"/>
  <c r="K483"/>
  <c r="L483"/>
  <c r="AL483" s="1"/>
  <c r="Z483"/>
  <c r="AB483"/>
  <c r="AC483"/>
  <c r="AD483"/>
  <c r="AE483"/>
  <c r="AF483"/>
  <c r="AG483"/>
  <c r="AH483"/>
  <c r="AJ483"/>
  <c r="AK483"/>
  <c r="AO483"/>
  <c r="AP483"/>
  <c r="AV483"/>
  <c r="AW483"/>
  <c r="BC483" s="1"/>
  <c r="AX483"/>
  <c r="BD483"/>
  <c r="BF483"/>
  <c r="BH483"/>
  <c r="BI483"/>
  <c r="BJ483"/>
  <c r="K484"/>
  <c r="L484"/>
  <c r="Z484"/>
  <c r="AC484"/>
  <c r="AD484"/>
  <c r="AE484"/>
  <c r="AF484"/>
  <c r="AG484"/>
  <c r="AH484"/>
  <c r="AJ484"/>
  <c r="AK484"/>
  <c r="AL484"/>
  <c r="AO484"/>
  <c r="J484" s="1"/>
  <c r="AP484"/>
  <c r="AW484"/>
  <c r="AV484" s="1"/>
  <c r="AX484"/>
  <c r="BD484"/>
  <c r="BF484"/>
  <c r="BH484"/>
  <c r="AB484" s="1"/>
  <c r="BI484"/>
  <c r="BJ484"/>
  <c r="K485"/>
  <c r="L485"/>
  <c r="Z485"/>
  <c r="AB485"/>
  <c r="AC485"/>
  <c r="AD485"/>
  <c r="AE485"/>
  <c r="AF485"/>
  <c r="AG485"/>
  <c r="AH485"/>
  <c r="AJ485"/>
  <c r="AK485"/>
  <c r="AL485"/>
  <c r="AO485"/>
  <c r="AW485" s="1"/>
  <c r="AP485"/>
  <c r="AX485" s="1"/>
  <c r="BD485"/>
  <c r="BF485"/>
  <c r="BH485"/>
  <c r="BI485"/>
  <c r="BJ485"/>
  <c r="J486"/>
  <c r="K486"/>
  <c r="L486"/>
  <c r="AL486" s="1"/>
  <c r="Z486"/>
  <c r="AB486"/>
  <c r="AC486"/>
  <c r="AD486"/>
  <c r="AE486"/>
  <c r="AF486"/>
  <c r="AG486"/>
  <c r="AH486"/>
  <c r="AJ486"/>
  <c r="AK486"/>
  <c r="AO486"/>
  <c r="AP486"/>
  <c r="AV486"/>
  <c r="AW486"/>
  <c r="BC486" s="1"/>
  <c r="AX486"/>
  <c r="BD486"/>
  <c r="BF486"/>
  <c r="BH486"/>
  <c r="BI486"/>
  <c r="BJ486"/>
  <c r="K487"/>
  <c r="L487"/>
  <c r="AL487" s="1"/>
  <c r="Z487"/>
  <c r="AC487"/>
  <c r="AD487"/>
  <c r="AE487"/>
  <c r="AF487"/>
  <c r="AG487"/>
  <c r="AH487"/>
  <c r="AJ487"/>
  <c r="AK487"/>
  <c r="AO487"/>
  <c r="J487" s="1"/>
  <c r="AP487"/>
  <c r="AW487"/>
  <c r="AV487" s="1"/>
  <c r="AX487"/>
  <c r="BD487"/>
  <c r="BF487"/>
  <c r="BH487"/>
  <c r="AB487" s="1"/>
  <c r="BI487"/>
  <c r="BJ487"/>
  <c r="L488"/>
  <c r="AL488" s="1"/>
  <c r="Z488"/>
  <c r="AD488"/>
  <c r="AE488"/>
  <c r="AF488"/>
  <c r="AG488"/>
  <c r="AH488"/>
  <c r="AJ488"/>
  <c r="AK488"/>
  <c r="AO488"/>
  <c r="AW488" s="1"/>
  <c r="AP488"/>
  <c r="AX488" s="1"/>
  <c r="BD488"/>
  <c r="BF488"/>
  <c r="BH488"/>
  <c r="AB488" s="1"/>
  <c r="BI488"/>
  <c r="AC488" s="1"/>
  <c r="BJ488"/>
  <c r="L489"/>
  <c r="AL489" s="1"/>
  <c r="Z489"/>
  <c r="AD489"/>
  <c r="AE489"/>
  <c r="AF489"/>
  <c r="AG489"/>
  <c r="AH489"/>
  <c r="AJ489"/>
  <c r="AK489"/>
  <c r="AO489"/>
  <c r="AW489" s="1"/>
  <c r="AP489"/>
  <c r="AX489" s="1"/>
  <c r="BD489"/>
  <c r="BF489"/>
  <c r="BH489"/>
  <c r="AB489" s="1"/>
  <c r="BI489"/>
  <c r="AC489" s="1"/>
  <c r="BJ489"/>
  <c r="L490"/>
  <c r="Z490"/>
  <c r="AC490"/>
  <c r="AD490"/>
  <c r="AE490"/>
  <c r="AF490"/>
  <c r="AG490"/>
  <c r="AH490"/>
  <c r="AJ490"/>
  <c r="AK490"/>
  <c r="AL490"/>
  <c r="AO490"/>
  <c r="AW490" s="1"/>
  <c r="AP490"/>
  <c r="K490" s="1"/>
  <c r="BD490"/>
  <c r="BF490"/>
  <c r="BH490"/>
  <c r="AB490" s="1"/>
  <c r="BI490"/>
  <c r="BJ490"/>
  <c r="AS491"/>
  <c r="AT491"/>
  <c r="L492"/>
  <c r="Z492"/>
  <c r="AB492"/>
  <c r="AC492"/>
  <c r="AD492"/>
  <c r="AE492"/>
  <c r="AH492"/>
  <c r="AJ492"/>
  <c r="AK492"/>
  <c r="AL492"/>
  <c r="AO492"/>
  <c r="BH492" s="1"/>
  <c r="AF492" s="1"/>
  <c r="AP492"/>
  <c r="AX492" s="1"/>
  <c r="BD492"/>
  <c r="BF492"/>
  <c r="BI492"/>
  <c r="AG492" s="1"/>
  <c r="BJ492"/>
  <c r="K493"/>
  <c r="L493"/>
  <c r="Z493"/>
  <c r="AB493"/>
  <c r="AC493"/>
  <c r="AD493"/>
  <c r="AE493"/>
  <c r="AG493"/>
  <c r="AH493"/>
  <c r="AJ493"/>
  <c r="AK493"/>
  <c r="AL493"/>
  <c r="AO493"/>
  <c r="AW493" s="1"/>
  <c r="AP493"/>
  <c r="AX493" s="1"/>
  <c r="BD493"/>
  <c r="BF493"/>
  <c r="BH493"/>
  <c r="AF493" s="1"/>
  <c r="BI493"/>
  <c r="BJ493"/>
  <c r="K496"/>
  <c r="L496"/>
  <c r="AL496" s="1"/>
  <c r="Z496"/>
  <c r="AB496"/>
  <c r="AC496"/>
  <c r="AD496"/>
  <c r="AE496"/>
  <c r="AG496"/>
  <c r="AH496"/>
  <c r="AJ496"/>
  <c r="AK496"/>
  <c r="AO496"/>
  <c r="J496" s="1"/>
  <c r="AP496"/>
  <c r="AW496"/>
  <c r="AX496"/>
  <c r="BD496"/>
  <c r="BF496"/>
  <c r="BH496"/>
  <c r="AF496" s="1"/>
  <c r="BI496"/>
  <c r="BJ496"/>
  <c r="J497"/>
  <c r="K497"/>
  <c r="L497"/>
  <c r="Z497"/>
  <c r="AB497"/>
  <c r="AC497"/>
  <c r="AD497"/>
  <c r="AE497"/>
  <c r="AF497"/>
  <c r="AG497"/>
  <c r="AH497"/>
  <c r="AJ497"/>
  <c r="AK497"/>
  <c r="AL497"/>
  <c r="AO497"/>
  <c r="AP497"/>
  <c r="AV497"/>
  <c r="AW497"/>
  <c r="BC497" s="1"/>
  <c r="AX497"/>
  <c r="BD497"/>
  <c r="BF497"/>
  <c r="BH497"/>
  <c r="BI497"/>
  <c r="BJ497"/>
  <c r="K498"/>
  <c r="L498"/>
  <c r="Z498"/>
  <c r="AB498"/>
  <c r="AC498"/>
  <c r="AD498"/>
  <c r="AE498"/>
  <c r="AG498"/>
  <c r="AH498"/>
  <c r="AJ498"/>
  <c r="AK498"/>
  <c r="AL498"/>
  <c r="AO498"/>
  <c r="AW498" s="1"/>
  <c r="AP498"/>
  <c r="AX498" s="1"/>
  <c r="BD498"/>
  <c r="BF498"/>
  <c r="BH498"/>
  <c r="AF498" s="1"/>
  <c r="BI498"/>
  <c r="BJ498"/>
  <c r="J499"/>
  <c r="L499"/>
  <c r="Z499"/>
  <c r="AB499"/>
  <c r="AC499"/>
  <c r="AD499"/>
  <c r="AE499"/>
  <c r="AF499"/>
  <c r="AH499"/>
  <c r="AJ499"/>
  <c r="AK499"/>
  <c r="AL499"/>
  <c r="AO499"/>
  <c r="AW499" s="1"/>
  <c r="AP499"/>
  <c r="AX499" s="1"/>
  <c r="BD499"/>
  <c r="BF499"/>
  <c r="BH499"/>
  <c r="BI499"/>
  <c r="AG499" s="1"/>
  <c r="BJ499"/>
  <c r="J500"/>
  <c r="K500"/>
  <c r="L500"/>
  <c r="AL500" s="1"/>
  <c r="Z500"/>
  <c r="AB500"/>
  <c r="AC500"/>
  <c r="AD500"/>
  <c r="AE500"/>
  <c r="AF500"/>
  <c r="AG500"/>
  <c r="AH500"/>
  <c r="AJ500"/>
  <c r="AK500"/>
  <c r="AO500"/>
  <c r="AP500"/>
  <c r="AV500"/>
  <c r="AW500"/>
  <c r="BC500" s="1"/>
  <c r="AX500"/>
  <c r="BD500"/>
  <c r="BF500"/>
  <c r="BH500"/>
  <c r="BI500"/>
  <c r="BJ500"/>
  <c r="K501"/>
  <c r="L501"/>
  <c r="AL501" s="1"/>
  <c r="Z501"/>
  <c r="AB501"/>
  <c r="AC501"/>
  <c r="AD501"/>
  <c r="AE501"/>
  <c r="AG501"/>
  <c r="AH501"/>
  <c r="AJ501"/>
  <c r="AK501"/>
  <c r="AO501"/>
  <c r="J501" s="1"/>
  <c r="AP501"/>
  <c r="AW501"/>
  <c r="AV501" s="1"/>
  <c r="AX501"/>
  <c r="BD501"/>
  <c r="BF501"/>
  <c r="BH501"/>
  <c r="AF501" s="1"/>
  <c r="BI501"/>
  <c r="BJ501"/>
  <c r="L502"/>
  <c r="Z502"/>
  <c r="AB502"/>
  <c r="AC502"/>
  <c r="AD502"/>
  <c r="AE502"/>
  <c r="AH502"/>
  <c r="AJ502"/>
  <c r="AK502"/>
  <c r="AL502"/>
  <c r="AO502"/>
  <c r="AW502" s="1"/>
  <c r="AP502"/>
  <c r="K502" s="1"/>
  <c r="BD502"/>
  <c r="BF502"/>
  <c r="BH502"/>
  <c r="AF502" s="1"/>
  <c r="BI502"/>
  <c r="AG502" s="1"/>
  <c r="BJ502"/>
  <c r="K503"/>
  <c r="L503"/>
  <c r="Z503"/>
  <c r="AB503"/>
  <c r="AC503"/>
  <c r="AD503"/>
  <c r="AE503"/>
  <c r="AF503"/>
  <c r="AG503"/>
  <c r="AH503"/>
  <c r="AJ503"/>
  <c r="AK503"/>
  <c r="AL503"/>
  <c r="AO503"/>
  <c r="AW503" s="1"/>
  <c r="AP503"/>
  <c r="AX503" s="1"/>
  <c r="BD503"/>
  <c r="BF503"/>
  <c r="BH503"/>
  <c r="BI503"/>
  <c r="BJ503"/>
  <c r="J504"/>
  <c r="K504"/>
  <c r="L504"/>
  <c r="AL504" s="1"/>
  <c r="Z504"/>
  <c r="AB504"/>
  <c r="AC504"/>
  <c r="AD504"/>
  <c r="AE504"/>
  <c r="AF504"/>
  <c r="AG504"/>
  <c r="AH504"/>
  <c r="AJ504"/>
  <c r="AK504"/>
  <c r="AO504"/>
  <c r="AP504"/>
  <c r="AV504"/>
  <c r="AW504"/>
  <c r="BC504" s="1"/>
  <c r="AX504"/>
  <c r="BD504"/>
  <c r="BF504"/>
  <c r="BH504"/>
  <c r="BI504"/>
  <c r="BJ504"/>
  <c r="K505"/>
  <c r="L505"/>
  <c r="AL505" s="1"/>
  <c r="Z505"/>
  <c r="AC505"/>
  <c r="AD505"/>
  <c r="AE505"/>
  <c r="AF505"/>
  <c r="AG505"/>
  <c r="AH505"/>
  <c r="AJ505"/>
  <c r="AK505"/>
  <c r="AO505"/>
  <c r="J505" s="1"/>
  <c r="AP505"/>
  <c r="AW505"/>
  <c r="AV505" s="1"/>
  <c r="AX505"/>
  <c r="BD505"/>
  <c r="BF505"/>
  <c r="BH505"/>
  <c r="AB505" s="1"/>
  <c r="BI505"/>
  <c r="BJ505"/>
  <c r="L506"/>
  <c r="Z506"/>
  <c r="AD506"/>
  <c r="AE506"/>
  <c r="AF506"/>
  <c r="AG506"/>
  <c r="AH506"/>
  <c r="AJ506"/>
  <c r="AK506"/>
  <c r="AL506"/>
  <c r="AO506"/>
  <c r="AW506" s="1"/>
  <c r="AP506"/>
  <c r="K506" s="1"/>
  <c r="BD506"/>
  <c r="BF506"/>
  <c r="BJ506"/>
  <c r="L507"/>
  <c r="AL507" s="1"/>
  <c r="Z507"/>
  <c r="AD507"/>
  <c r="AE507"/>
  <c r="AF507"/>
  <c r="AG507"/>
  <c r="AH507"/>
  <c r="AJ507"/>
  <c r="AK507"/>
  <c r="AO507"/>
  <c r="AW507" s="1"/>
  <c r="AP507"/>
  <c r="AX507" s="1"/>
  <c r="BD507"/>
  <c r="BF507"/>
  <c r="BH507"/>
  <c r="AB507" s="1"/>
  <c r="BI507"/>
  <c r="AC507" s="1"/>
  <c r="BJ507"/>
  <c r="L508"/>
  <c r="AL508" s="1"/>
  <c r="Z508"/>
  <c r="AD508"/>
  <c r="AE508"/>
  <c r="AF508"/>
  <c r="AG508"/>
  <c r="AH508"/>
  <c r="AJ508"/>
  <c r="AK508"/>
  <c r="AO508"/>
  <c r="AW508" s="1"/>
  <c r="AP508"/>
  <c r="AX508" s="1"/>
  <c r="BD508"/>
  <c r="BF508"/>
  <c r="BH508"/>
  <c r="AB508" s="1"/>
  <c r="BI508"/>
  <c r="AC508" s="1"/>
  <c r="BJ508"/>
  <c r="L509"/>
  <c r="AL509" s="1"/>
  <c r="Z509"/>
  <c r="AB509"/>
  <c r="AC509"/>
  <c r="AD509"/>
  <c r="AE509"/>
  <c r="AH509"/>
  <c r="AJ509"/>
  <c r="AK509"/>
  <c r="AO509"/>
  <c r="AW509" s="1"/>
  <c r="AP509"/>
  <c r="AX509" s="1"/>
  <c r="BD509"/>
  <c r="BF509"/>
  <c r="BH509"/>
  <c r="AF509" s="1"/>
  <c r="BI509"/>
  <c r="AG509" s="1"/>
  <c r="BJ509"/>
  <c r="L510"/>
  <c r="AL510" s="1"/>
  <c r="Z510"/>
  <c r="AD510"/>
  <c r="AE510"/>
  <c r="AF510"/>
  <c r="AG510"/>
  <c r="AH510"/>
  <c r="AJ510"/>
  <c r="AK510"/>
  <c r="AO510"/>
  <c r="AW510" s="1"/>
  <c r="AP510"/>
  <c r="AX510" s="1"/>
  <c r="BD510"/>
  <c r="BF510"/>
  <c r="BJ510"/>
  <c r="J511"/>
  <c r="K511"/>
  <c r="L511"/>
  <c r="AL511" s="1"/>
  <c r="Z511"/>
  <c r="AB511"/>
  <c r="AC511"/>
  <c r="AD511"/>
  <c r="AE511"/>
  <c r="AF511"/>
  <c r="AG511"/>
  <c r="AH511"/>
  <c r="AJ511"/>
  <c r="AK511"/>
  <c r="AO511"/>
  <c r="AP511"/>
  <c r="AV511"/>
  <c r="AW511"/>
  <c r="BC511" s="1"/>
  <c r="AX511"/>
  <c r="BD511"/>
  <c r="BF511"/>
  <c r="BH511"/>
  <c r="BI511"/>
  <c r="BJ511"/>
  <c r="K512"/>
  <c r="L512"/>
  <c r="AL512" s="1"/>
  <c r="Z512"/>
  <c r="AC512"/>
  <c r="AD512"/>
  <c r="AE512"/>
  <c r="AF512"/>
  <c r="AG512"/>
  <c r="AH512"/>
  <c r="AJ512"/>
  <c r="AK512"/>
  <c r="AO512"/>
  <c r="J512" s="1"/>
  <c r="AP512"/>
  <c r="AW512"/>
  <c r="AV512" s="1"/>
  <c r="AX512"/>
  <c r="BD512"/>
  <c r="BF512"/>
  <c r="BH512"/>
  <c r="AB512" s="1"/>
  <c r="BI512"/>
  <c r="BJ512"/>
  <c r="L513"/>
  <c r="Z513"/>
  <c r="AC513"/>
  <c r="AD513"/>
  <c r="AE513"/>
  <c r="AF513"/>
  <c r="AG513"/>
  <c r="AH513"/>
  <c r="AJ513"/>
  <c r="AK513"/>
  <c r="AL513"/>
  <c r="AO513"/>
  <c r="AW513" s="1"/>
  <c r="AP513"/>
  <c r="K513" s="1"/>
  <c r="BD513"/>
  <c r="BF513"/>
  <c r="BH513"/>
  <c r="AB513" s="1"/>
  <c r="BI513"/>
  <c r="BJ513"/>
  <c r="J514"/>
  <c r="L514"/>
  <c r="Z514"/>
  <c r="AB514"/>
  <c r="AC514"/>
  <c r="AD514"/>
  <c r="AE514"/>
  <c r="AF514"/>
  <c r="AG514"/>
  <c r="AH514"/>
  <c r="AJ514"/>
  <c r="AK514"/>
  <c r="AL514"/>
  <c r="AO514"/>
  <c r="AW514" s="1"/>
  <c r="AP514"/>
  <c r="AX514" s="1"/>
  <c r="BD514"/>
  <c r="BF514"/>
  <c r="BH514"/>
  <c r="BI514"/>
  <c r="BJ514"/>
  <c r="J515"/>
  <c r="L515"/>
  <c r="AL515" s="1"/>
  <c r="Z515"/>
  <c r="AB515"/>
  <c r="AD515"/>
  <c r="AE515"/>
  <c r="AF515"/>
  <c r="AG515"/>
  <c r="AH515"/>
  <c r="AJ515"/>
  <c r="AK515"/>
  <c r="AO515"/>
  <c r="AP515"/>
  <c r="K515" s="1"/>
  <c r="AW515"/>
  <c r="BD515"/>
  <c r="BF515"/>
  <c r="BH515"/>
  <c r="BJ515"/>
  <c r="L516"/>
  <c r="Z516"/>
  <c r="AC516"/>
  <c r="AD516"/>
  <c r="AE516"/>
  <c r="AF516"/>
  <c r="AG516"/>
  <c r="AH516"/>
  <c r="AJ516"/>
  <c r="AK516"/>
  <c r="AL516"/>
  <c r="AO516"/>
  <c r="AW516" s="1"/>
  <c r="AP516"/>
  <c r="K516" s="1"/>
  <c r="BD516"/>
  <c r="BF516"/>
  <c r="BH516"/>
  <c r="AB516" s="1"/>
  <c r="BI516"/>
  <c r="BJ516"/>
  <c r="J517"/>
  <c r="L517"/>
  <c r="Z517"/>
  <c r="AB517"/>
  <c r="AC517"/>
  <c r="AD517"/>
  <c r="AE517"/>
  <c r="AF517"/>
  <c r="AG517"/>
  <c r="AH517"/>
  <c r="AJ517"/>
  <c r="AK517"/>
  <c r="AL517"/>
  <c r="AO517"/>
  <c r="AP517"/>
  <c r="AX517" s="1"/>
  <c r="AW517"/>
  <c r="BD517"/>
  <c r="BF517"/>
  <c r="BH517"/>
  <c r="BI517"/>
  <c r="BJ517"/>
  <c r="L518"/>
  <c r="AL518" s="1"/>
  <c r="Z518"/>
  <c r="AD518"/>
  <c r="AE518"/>
  <c r="AF518"/>
  <c r="AG518"/>
  <c r="AH518"/>
  <c r="AJ518"/>
  <c r="AK518"/>
  <c r="AO518"/>
  <c r="AW518" s="1"/>
  <c r="AP518"/>
  <c r="AX518" s="1"/>
  <c r="BD518"/>
  <c r="BF518"/>
  <c r="BH518"/>
  <c r="AB518" s="1"/>
  <c r="BJ518"/>
  <c r="J519"/>
  <c r="L519"/>
  <c r="AL519" s="1"/>
  <c r="Z519"/>
  <c r="AB519"/>
  <c r="AD519"/>
  <c r="AE519"/>
  <c r="AF519"/>
  <c r="AG519"/>
  <c r="AH519"/>
  <c r="AJ519"/>
  <c r="AK519"/>
  <c r="AO519"/>
  <c r="AP519"/>
  <c r="AX519" s="1"/>
  <c r="AV519" s="1"/>
  <c r="AW519"/>
  <c r="BD519"/>
  <c r="BF519"/>
  <c r="BH519"/>
  <c r="BI519"/>
  <c r="AC519" s="1"/>
  <c r="BJ519"/>
  <c r="AT520"/>
  <c r="L521"/>
  <c r="AL521" s="1"/>
  <c r="AU520" s="1"/>
  <c r="Z521"/>
  <c r="AB521"/>
  <c r="AC521"/>
  <c r="AD521"/>
  <c r="AE521"/>
  <c r="AH521"/>
  <c r="AJ521"/>
  <c r="AS520" s="1"/>
  <c r="AK521"/>
  <c r="AO521"/>
  <c r="BH521" s="1"/>
  <c r="AF521" s="1"/>
  <c r="AP521"/>
  <c r="AX521" s="1"/>
  <c r="BD521"/>
  <c r="BF521"/>
  <c r="BI521"/>
  <c r="AG521" s="1"/>
  <c r="BJ521"/>
  <c r="J522"/>
  <c r="K522"/>
  <c r="L522"/>
  <c r="Z522"/>
  <c r="AB522"/>
  <c r="AC522"/>
  <c r="AD522"/>
  <c r="AE522"/>
  <c r="AF522"/>
  <c r="AG522"/>
  <c r="AH522"/>
  <c r="AJ522"/>
  <c r="AK522"/>
  <c r="AL522"/>
  <c r="AO522"/>
  <c r="AP522"/>
  <c r="AV522"/>
  <c r="AW522"/>
  <c r="BC522" s="1"/>
  <c r="AX522"/>
  <c r="BD522"/>
  <c r="BF522"/>
  <c r="BH522"/>
  <c r="BI522"/>
  <c r="BJ522"/>
  <c r="J525"/>
  <c r="L525"/>
  <c r="Z525"/>
  <c r="AB525"/>
  <c r="AC525"/>
  <c r="AD525"/>
  <c r="AE525"/>
  <c r="AF525"/>
  <c r="AG525"/>
  <c r="AH525"/>
  <c r="AJ525"/>
  <c r="AS524" s="1"/>
  <c r="AK525"/>
  <c r="AT524" s="1"/>
  <c r="AL525"/>
  <c r="AO525"/>
  <c r="AW525" s="1"/>
  <c r="AP525"/>
  <c r="AX525" s="1"/>
  <c r="BD525"/>
  <c r="BF525"/>
  <c r="BH525"/>
  <c r="BI525"/>
  <c r="BJ525"/>
  <c r="L526"/>
  <c r="AL526" s="1"/>
  <c r="AU524" s="1"/>
  <c r="AB526"/>
  <c r="AC526"/>
  <c r="AD526"/>
  <c r="AE526"/>
  <c r="AF526"/>
  <c r="AG526"/>
  <c r="AH526"/>
  <c r="AJ526"/>
  <c r="AK526"/>
  <c r="AO526"/>
  <c r="BH526" s="1"/>
  <c r="AP526"/>
  <c r="AX526" s="1"/>
  <c r="BD526"/>
  <c r="BF526"/>
  <c r="BI526"/>
  <c r="BJ526"/>
  <c r="Z526" s="1"/>
  <c r="L528"/>
  <c r="Z528"/>
  <c r="AB528"/>
  <c r="AC528"/>
  <c r="AF528"/>
  <c r="AG528"/>
  <c r="AH528"/>
  <c r="AJ528"/>
  <c r="AK528"/>
  <c r="AL528"/>
  <c r="AO528"/>
  <c r="AW528" s="1"/>
  <c r="AP528"/>
  <c r="AX528" s="1"/>
  <c r="BD528"/>
  <c r="BF528"/>
  <c r="BI528"/>
  <c r="AE528" s="1"/>
  <c r="BJ528"/>
  <c r="J529"/>
  <c r="K529"/>
  <c r="L529"/>
  <c r="Z529"/>
  <c r="AB529"/>
  <c r="AC529"/>
  <c r="AF529"/>
  <c r="AG529"/>
  <c r="AH529"/>
  <c r="AJ529"/>
  <c r="AK529"/>
  <c r="AL529"/>
  <c r="AO529"/>
  <c r="AP529"/>
  <c r="AX529" s="1"/>
  <c r="AV529" s="1"/>
  <c r="AW529"/>
  <c r="BC529" s="1"/>
  <c r="BD529"/>
  <c r="BF529"/>
  <c r="BH529"/>
  <c r="AD529" s="1"/>
  <c r="BI529"/>
  <c r="AE529" s="1"/>
  <c r="BJ529"/>
  <c r="L530"/>
  <c r="Z530"/>
  <c r="AB530"/>
  <c r="AC530"/>
  <c r="AF530"/>
  <c r="AG530"/>
  <c r="AH530"/>
  <c r="AJ530"/>
  <c r="AK530"/>
  <c r="AL530"/>
  <c r="AO530"/>
  <c r="J530" s="1"/>
  <c r="AP530"/>
  <c r="AX530" s="1"/>
  <c r="BD530"/>
  <c r="BF530"/>
  <c r="BH530"/>
  <c r="AD530" s="1"/>
  <c r="BI530"/>
  <c r="AE530" s="1"/>
  <c r="BJ530"/>
  <c r="L531"/>
  <c r="L527" s="1"/>
  <c r="L80" i="4" s="1"/>
  <c r="N80" s="1"/>
  <c r="Z531" i="5"/>
  <c r="AB531"/>
  <c r="AC531"/>
  <c r="AD531"/>
  <c r="AE531"/>
  <c r="AF531"/>
  <c r="AG531"/>
  <c r="AH531"/>
  <c r="AJ531"/>
  <c r="AK531"/>
  <c r="AO531"/>
  <c r="AW531" s="1"/>
  <c r="AP531"/>
  <c r="K531" s="1"/>
  <c r="AX531"/>
  <c r="BD531"/>
  <c r="BF531"/>
  <c r="BH531"/>
  <c r="BI531"/>
  <c r="BJ531"/>
  <c r="J534"/>
  <c r="L534"/>
  <c r="AL534" s="1"/>
  <c r="Z534"/>
  <c r="AB534"/>
  <c r="AC534"/>
  <c r="AF534"/>
  <c r="AG534"/>
  <c r="AH534"/>
  <c r="AJ534"/>
  <c r="AK534"/>
  <c r="AO534"/>
  <c r="AP534"/>
  <c r="BI534" s="1"/>
  <c r="AE534" s="1"/>
  <c r="AW534"/>
  <c r="BD534"/>
  <c r="BF534"/>
  <c r="BH534"/>
  <c r="AD534" s="1"/>
  <c r="BJ534"/>
  <c r="L535"/>
  <c r="Z535"/>
  <c r="AB535"/>
  <c r="AC535"/>
  <c r="AF535"/>
  <c r="AG535"/>
  <c r="AH535"/>
  <c r="AJ535"/>
  <c r="AK535"/>
  <c r="AL535"/>
  <c r="AO535"/>
  <c r="AW535" s="1"/>
  <c r="AP535"/>
  <c r="AX535" s="1"/>
  <c r="BD535"/>
  <c r="BF535"/>
  <c r="BH535"/>
  <c r="AD535" s="1"/>
  <c r="BI535"/>
  <c r="AE535" s="1"/>
  <c r="BJ535"/>
  <c r="K536"/>
  <c r="L536"/>
  <c r="Z536"/>
  <c r="AB536"/>
  <c r="AC536"/>
  <c r="AF536"/>
  <c r="AG536"/>
  <c r="AH536"/>
  <c r="AJ536"/>
  <c r="AK536"/>
  <c r="AL536"/>
  <c r="AO536"/>
  <c r="AW536" s="1"/>
  <c r="AP536"/>
  <c r="AX536"/>
  <c r="BD536"/>
  <c r="BF536"/>
  <c r="BH536"/>
  <c r="AD536" s="1"/>
  <c r="BI536"/>
  <c r="AE536" s="1"/>
  <c r="BJ536"/>
  <c r="L537"/>
  <c r="AL537" s="1"/>
  <c r="Z537"/>
  <c r="AB537"/>
  <c r="AC537"/>
  <c r="AF537"/>
  <c r="AG537"/>
  <c r="AH537"/>
  <c r="AJ537"/>
  <c r="AK537"/>
  <c r="AO537"/>
  <c r="AW537" s="1"/>
  <c r="AP537"/>
  <c r="K537" s="1"/>
  <c r="AX537"/>
  <c r="BD537"/>
  <c r="BF537"/>
  <c r="BH537"/>
  <c r="AD537" s="1"/>
  <c r="BI537"/>
  <c r="AE537" s="1"/>
  <c r="BJ537"/>
  <c r="L538"/>
  <c r="AL538" s="1"/>
  <c r="Z538"/>
  <c r="AB538"/>
  <c r="AC538"/>
  <c r="AF538"/>
  <c r="AG538"/>
  <c r="AH538"/>
  <c r="AJ538"/>
  <c r="AK538"/>
  <c r="AO538"/>
  <c r="AW538" s="1"/>
  <c r="AP538"/>
  <c r="K538" s="1"/>
  <c r="AX538"/>
  <c r="BD538"/>
  <c r="BF538"/>
  <c r="BH538"/>
  <c r="AD538" s="1"/>
  <c r="BI538"/>
  <c r="AE538" s="1"/>
  <c r="BJ538"/>
  <c r="K539"/>
  <c r="L539"/>
  <c r="AL539" s="1"/>
  <c r="Z539"/>
  <c r="AB539"/>
  <c r="AC539"/>
  <c r="AF539"/>
  <c r="AG539"/>
  <c r="AH539"/>
  <c r="AJ539"/>
  <c r="AK539"/>
  <c r="AO539"/>
  <c r="J539" s="1"/>
  <c r="AP539"/>
  <c r="AW539"/>
  <c r="AV539" s="1"/>
  <c r="AX539"/>
  <c r="BD539"/>
  <c r="BF539"/>
  <c r="BH539"/>
  <c r="AD539" s="1"/>
  <c r="BI539"/>
  <c r="AE539" s="1"/>
  <c r="BJ539"/>
  <c r="L540"/>
  <c r="AL540" s="1"/>
  <c r="Z540"/>
  <c r="AB540"/>
  <c r="AC540"/>
  <c r="AD540"/>
  <c r="AF540"/>
  <c r="AG540"/>
  <c r="AH540"/>
  <c r="AJ540"/>
  <c r="AK540"/>
  <c r="AO540"/>
  <c r="J540" s="1"/>
  <c r="AP540"/>
  <c r="AX540" s="1"/>
  <c r="BD540"/>
  <c r="BF540"/>
  <c r="BH540"/>
  <c r="BI540"/>
  <c r="AE540" s="1"/>
  <c r="BJ540"/>
  <c r="L541"/>
  <c r="Z541"/>
  <c r="AB541"/>
  <c r="AC541"/>
  <c r="AF541"/>
  <c r="AG541"/>
  <c r="AH541"/>
  <c r="AJ541"/>
  <c r="AK541"/>
  <c r="AL541"/>
  <c r="AO541"/>
  <c r="AW541" s="1"/>
  <c r="AP541"/>
  <c r="AX541" s="1"/>
  <c r="BD541"/>
  <c r="BF541"/>
  <c r="BI541"/>
  <c r="AE541" s="1"/>
  <c r="BJ541"/>
  <c r="L542"/>
  <c r="AL542" s="1"/>
  <c r="Z542"/>
  <c r="AB542"/>
  <c r="AC542"/>
  <c r="AE542"/>
  <c r="AF542"/>
  <c r="AG542"/>
  <c r="AH542"/>
  <c r="AJ542"/>
  <c r="AK542"/>
  <c r="AO542"/>
  <c r="AW542" s="1"/>
  <c r="AP542"/>
  <c r="K542" s="1"/>
  <c r="BD542"/>
  <c r="BF542"/>
  <c r="BH542"/>
  <c r="AD542" s="1"/>
  <c r="BI542"/>
  <c r="BJ542"/>
  <c r="K543"/>
  <c r="L543"/>
  <c r="Z543"/>
  <c r="AB543"/>
  <c r="AC543"/>
  <c r="AF543"/>
  <c r="AG543"/>
  <c r="AH543"/>
  <c r="AJ543"/>
  <c r="AK543"/>
  <c r="AL543"/>
  <c r="AO543"/>
  <c r="AW543" s="1"/>
  <c r="AP543"/>
  <c r="AX543"/>
  <c r="BD543"/>
  <c r="BF543"/>
  <c r="BH543"/>
  <c r="AD543" s="1"/>
  <c r="BI543"/>
  <c r="AE543" s="1"/>
  <c r="BJ543"/>
  <c r="L544"/>
  <c r="AL544" s="1"/>
  <c r="Z544"/>
  <c r="AB544"/>
  <c r="AC544"/>
  <c r="AF544"/>
  <c r="AG544"/>
  <c r="AH544"/>
  <c r="AJ544"/>
  <c r="AK544"/>
  <c r="AO544"/>
  <c r="AW544" s="1"/>
  <c r="AP544"/>
  <c r="K544" s="1"/>
  <c r="AX544"/>
  <c r="BD544"/>
  <c r="BF544"/>
  <c r="BH544"/>
  <c r="AD544" s="1"/>
  <c r="BI544"/>
  <c r="AE544" s="1"/>
  <c r="BJ544"/>
  <c r="J545"/>
  <c r="K545"/>
  <c r="L545"/>
  <c r="AL545" s="1"/>
  <c r="Z545"/>
  <c r="AB545"/>
  <c r="AC545"/>
  <c r="AF545"/>
  <c r="AG545"/>
  <c r="AH545"/>
  <c r="AJ545"/>
  <c r="AK545"/>
  <c r="AO545"/>
  <c r="AP545"/>
  <c r="AV545"/>
  <c r="AW545"/>
  <c r="BC545" s="1"/>
  <c r="AX545"/>
  <c r="BD545"/>
  <c r="BF545"/>
  <c r="BH545"/>
  <c r="AD545" s="1"/>
  <c r="BI545"/>
  <c r="AE545" s="1"/>
  <c r="BJ545"/>
  <c r="J546"/>
  <c r="L546"/>
  <c r="Z546"/>
  <c r="AB546"/>
  <c r="AC546"/>
  <c r="AF546"/>
  <c r="AG546"/>
  <c r="AH546"/>
  <c r="AJ546"/>
  <c r="AK546"/>
  <c r="AL546"/>
  <c r="AO546"/>
  <c r="AP546"/>
  <c r="AX546" s="1"/>
  <c r="AW546"/>
  <c r="BD546"/>
  <c r="BF546"/>
  <c r="BH546"/>
  <c r="AD546" s="1"/>
  <c r="BI546"/>
  <c r="AE546" s="1"/>
  <c r="BJ546"/>
  <c r="J547"/>
  <c r="K547"/>
  <c r="L547"/>
  <c r="AL547" s="1"/>
  <c r="AB547"/>
  <c r="AC547"/>
  <c r="AD547"/>
  <c r="AE547"/>
  <c r="AF547"/>
  <c r="AG547"/>
  <c r="AH547"/>
  <c r="AJ547"/>
  <c r="AK547"/>
  <c r="AO547"/>
  <c r="AP547"/>
  <c r="AV547"/>
  <c r="AW547"/>
  <c r="BC547" s="1"/>
  <c r="AX547"/>
  <c r="BD547"/>
  <c r="BF547"/>
  <c r="BH547"/>
  <c r="BI547"/>
  <c r="BJ547"/>
  <c r="Z547" s="1"/>
  <c r="K549"/>
  <c r="L549"/>
  <c r="Z549"/>
  <c r="AB549"/>
  <c r="AC549"/>
  <c r="AD549"/>
  <c r="AE549"/>
  <c r="AF549"/>
  <c r="AG549"/>
  <c r="AH549"/>
  <c r="AJ549"/>
  <c r="AK549"/>
  <c r="AL549"/>
  <c r="AO549"/>
  <c r="J549" s="1"/>
  <c r="AP549"/>
  <c r="AX549"/>
  <c r="BD549"/>
  <c r="BF549"/>
  <c r="BH549"/>
  <c r="BI549"/>
  <c r="BJ549"/>
  <c r="J550"/>
  <c r="L550"/>
  <c r="Z550"/>
  <c r="AB550"/>
  <c r="AC550"/>
  <c r="AD550"/>
  <c r="AE550"/>
  <c r="AF550"/>
  <c r="AG550"/>
  <c r="AH550"/>
  <c r="AJ550"/>
  <c r="AK550"/>
  <c r="AL550"/>
  <c r="AO550"/>
  <c r="AP550"/>
  <c r="AX550" s="1"/>
  <c r="BC550" s="1"/>
  <c r="AW550"/>
  <c r="BD550"/>
  <c r="BF550"/>
  <c r="BH550"/>
  <c r="BI550"/>
  <c r="BJ550"/>
  <c r="J552"/>
  <c r="L552"/>
  <c r="Z552"/>
  <c r="AB552"/>
  <c r="AD552"/>
  <c r="AE552"/>
  <c r="AF552"/>
  <c r="AG552"/>
  <c r="AH552"/>
  <c r="AJ552"/>
  <c r="AK552"/>
  <c r="AL552"/>
  <c r="AO552"/>
  <c r="AP552"/>
  <c r="AX552" s="1"/>
  <c r="AV552" s="1"/>
  <c r="AW552"/>
  <c r="BD552"/>
  <c r="BF552"/>
  <c r="BH552"/>
  <c r="BI552"/>
  <c r="AC552" s="1"/>
  <c r="BJ552"/>
  <c r="J553"/>
  <c r="L553"/>
  <c r="Z553"/>
  <c r="AB553"/>
  <c r="AC553"/>
  <c r="AD553"/>
  <c r="AE553"/>
  <c r="AF553"/>
  <c r="AG553"/>
  <c r="AH553"/>
  <c r="AJ553"/>
  <c r="AK553"/>
  <c r="AL553"/>
  <c r="AO553"/>
  <c r="AP553"/>
  <c r="AX553" s="1"/>
  <c r="BC553" s="1"/>
  <c r="AW553"/>
  <c r="AV553" s="1"/>
  <c r="BD553"/>
  <c r="BF553"/>
  <c r="BH553"/>
  <c r="BI553"/>
  <c r="BJ553"/>
  <c r="L554"/>
  <c r="AL554" s="1"/>
  <c r="Z554"/>
  <c r="AD554"/>
  <c r="AE554"/>
  <c r="AF554"/>
  <c r="AG554"/>
  <c r="AH554"/>
  <c r="AJ554"/>
  <c r="AK554"/>
  <c r="AO554"/>
  <c r="AW554" s="1"/>
  <c r="AP554"/>
  <c r="AX554" s="1"/>
  <c r="BD554"/>
  <c r="BF554"/>
  <c r="BH554"/>
  <c r="AB554" s="1"/>
  <c r="BJ554"/>
  <c r="J555"/>
  <c r="K555"/>
  <c r="L555"/>
  <c r="AL555" s="1"/>
  <c r="Z555"/>
  <c r="AB555"/>
  <c r="AC555"/>
  <c r="AD555"/>
  <c r="AE555"/>
  <c r="AF555"/>
  <c r="AG555"/>
  <c r="AH555"/>
  <c r="AJ555"/>
  <c r="AK555"/>
  <c r="AO555"/>
  <c r="AP555"/>
  <c r="AV555"/>
  <c r="AW555"/>
  <c r="BC555" s="1"/>
  <c r="AX555"/>
  <c r="BD555"/>
  <c r="BF555"/>
  <c r="BH555"/>
  <c r="BI555"/>
  <c r="BJ555"/>
  <c r="J558"/>
  <c r="L558"/>
  <c r="Z558"/>
  <c r="AB558"/>
  <c r="AC558"/>
  <c r="AD558"/>
  <c r="AE558"/>
  <c r="AF558"/>
  <c r="AG558"/>
  <c r="AH558"/>
  <c r="AJ558"/>
  <c r="AK558"/>
  <c r="AL558"/>
  <c r="AO558"/>
  <c r="AP558"/>
  <c r="AX558" s="1"/>
  <c r="BC558" s="1"/>
  <c r="AW558"/>
  <c r="BD558"/>
  <c r="BF558"/>
  <c r="BH558"/>
  <c r="BI558"/>
  <c r="BJ558"/>
  <c r="L559"/>
  <c r="AB559"/>
  <c r="AC559"/>
  <c r="AD559"/>
  <c r="AE559"/>
  <c r="AF559"/>
  <c r="AG559"/>
  <c r="AH559"/>
  <c r="AJ559"/>
  <c r="AK559"/>
  <c r="AL559"/>
  <c r="AO559"/>
  <c r="J559" s="1"/>
  <c r="AP559"/>
  <c r="AX559" s="1"/>
  <c r="BD559"/>
  <c r="BF559"/>
  <c r="BI559"/>
  <c r="BJ559"/>
  <c r="Z559" s="1"/>
  <c r="L560"/>
  <c r="AB560"/>
  <c r="AC560"/>
  <c r="AD560"/>
  <c r="AE560"/>
  <c r="AF560"/>
  <c r="AG560"/>
  <c r="AH560"/>
  <c r="AJ560"/>
  <c r="AK560"/>
  <c r="AL560"/>
  <c r="AO560"/>
  <c r="AW560" s="1"/>
  <c r="AP560"/>
  <c r="AX560" s="1"/>
  <c r="BD560"/>
  <c r="BF560"/>
  <c r="BI560"/>
  <c r="BJ560"/>
  <c r="Z560" s="1"/>
  <c r="L561"/>
  <c r="Z561"/>
  <c r="AB561"/>
  <c r="AC561"/>
  <c r="AD561"/>
  <c r="AE561"/>
  <c r="AF561"/>
  <c r="AG561"/>
  <c r="AH561"/>
  <c r="AJ561"/>
  <c r="AK561"/>
  <c r="AL561"/>
  <c r="AO561"/>
  <c r="BH561" s="1"/>
  <c r="AP561"/>
  <c r="AX561" s="1"/>
  <c r="BD561"/>
  <c r="BF561"/>
  <c r="BI561"/>
  <c r="BJ561"/>
  <c r="K562"/>
  <c r="L562"/>
  <c r="AL562" s="1"/>
  <c r="Z562"/>
  <c r="AB562"/>
  <c r="AC562"/>
  <c r="AD562"/>
  <c r="AE562"/>
  <c r="AF562"/>
  <c r="AG562"/>
  <c r="AH562"/>
  <c r="AJ562"/>
  <c r="AK562"/>
  <c r="AO562"/>
  <c r="J562" s="1"/>
  <c r="AP562"/>
  <c r="AW562"/>
  <c r="AV562" s="1"/>
  <c r="AX562"/>
  <c r="BD562"/>
  <c r="BF562"/>
  <c r="BH562"/>
  <c r="BI562"/>
  <c r="BJ562"/>
  <c r="L563"/>
  <c r="AB563"/>
  <c r="AC563"/>
  <c r="AD563"/>
  <c r="AE563"/>
  <c r="AF563"/>
  <c r="AG563"/>
  <c r="AH563"/>
  <c r="AJ563"/>
  <c r="AK563"/>
  <c r="AL563"/>
  <c r="AO563"/>
  <c r="AW563" s="1"/>
  <c r="AP563"/>
  <c r="AX563" s="1"/>
  <c r="BD563"/>
  <c r="BF563"/>
  <c r="BH563"/>
  <c r="BI563"/>
  <c r="BJ563"/>
  <c r="Z563" s="1"/>
  <c r="L564"/>
  <c r="AL564" s="1"/>
  <c r="Z564"/>
  <c r="AB564"/>
  <c r="AC564"/>
  <c r="AD564"/>
  <c r="AE564"/>
  <c r="AF564"/>
  <c r="AG564"/>
  <c r="AH564"/>
  <c r="AJ564"/>
  <c r="AK564"/>
  <c r="AO564"/>
  <c r="AW564" s="1"/>
  <c r="AP564"/>
  <c r="K564" s="1"/>
  <c r="AX564"/>
  <c r="BD564"/>
  <c r="BF564"/>
  <c r="BI564"/>
  <c r="BJ564"/>
  <c r="L566"/>
  <c r="L565" s="1"/>
  <c r="L85" i="4" s="1"/>
  <c r="N85" s="1"/>
  <c r="Z566" i="5"/>
  <c r="AB566"/>
  <c r="AC566"/>
  <c r="AF566"/>
  <c r="AG566"/>
  <c r="AH566"/>
  <c r="AJ566"/>
  <c r="AK566"/>
  <c r="AO566"/>
  <c r="AW566" s="1"/>
  <c r="AP566"/>
  <c r="K566" s="1"/>
  <c r="AX566"/>
  <c r="BD566"/>
  <c r="BF566"/>
  <c r="BH566"/>
  <c r="AD566" s="1"/>
  <c r="BI566"/>
  <c r="AE566" s="1"/>
  <c r="BJ566"/>
  <c r="L567"/>
  <c r="AL567" s="1"/>
  <c r="Z567"/>
  <c r="AB567"/>
  <c r="AC567"/>
  <c r="AD567"/>
  <c r="AF567"/>
  <c r="AG567"/>
  <c r="AH567"/>
  <c r="AJ567"/>
  <c r="AK567"/>
  <c r="AO567"/>
  <c r="AW567" s="1"/>
  <c r="AP567"/>
  <c r="AX567" s="1"/>
  <c r="BD567"/>
  <c r="BF567"/>
  <c r="BH567"/>
  <c r="BI567"/>
  <c r="AE567" s="1"/>
  <c r="BJ567"/>
  <c r="K568"/>
  <c r="L568"/>
  <c r="Z568"/>
  <c r="AB568"/>
  <c r="AC568"/>
  <c r="AF568"/>
  <c r="AG568"/>
  <c r="AH568"/>
  <c r="AJ568"/>
  <c r="AK568"/>
  <c r="AL568"/>
  <c r="AO568"/>
  <c r="AW568" s="1"/>
  <c r="AP568"/>
  <c r="AX568" s="1"/>
  <c r="BD568"/>
  <c r="BF568"/>
  <c r="BH568"/>
  <c r="AD568" s="1"/>
  <c r="BJ568"/>
  <c r="J569"/>
  <c r="K569"/>
  <c r="L569"/>
  <c r="Z569"/>
  <c r="AB569"/>
  <c r="AC569"/>
  <c r="AF569"/>
  <c r="AG569"/>
  <c r="AH569"/>
  <c r="AJ569"/>
  <c r="AK569"/>
  <c r="AL569"/>
  <c r="AO569"/>
  <c r="AW569" s="1"/>
  <c r="AP569"/>
  <c r="AX569"/>
  <c r="BD569"/>
  <c r="BF569"/>
  <c r="BH569"/>
  <c r="AD569" s="1"/>
  <c r="BI569"/>
  <c r="AE569" s="1"/>
  <c r="BJ569"/>
  <c r="J570"/>
  <c r="K570"/>
  <c r="L570"/>
  <c r="AL570" s="1"/>
  <c r="Z570"/>
  <c r="AB570"/>
  <c r="AC570"/>
  <c r="AF570"/>
  <c r="AG570"/>
  <c r="AH570"/>
  <c r="AJ570"/>
  <c r="AK570"/>
  <c r="AO570"/>
  <c r="AP570"/>
  <c r="AV570"/>
  <c r="AW570"/>
  <c r="BC570" s="1"/>
  <c r="AX570"/>
  <c r="BD570"/>
  <c r="BF570"/>
  <c r="BH570"/>
  <c r="AD570" s="1"/>
  <c r="BI570"/>
  <c r="AE570" s="1"/>
  <c r="BJ570"/>
  <c r="J571"/>
  <c r="L571"/>
  <c r="Z571"/>
  <c r="AB571"/>
  <c r="AC571"/>
  <c r="AF571"/>
  <c r="AG571"/>
  <c r="AH571"/>
  <c r="AJ571"/>
  <c r="AK571"/>
  <c r="AL571"/>
  <c r="AO571"/>
  <c r="AP571"/>
  <c r="AX571" s="1"/>
  <c r="AW571"/>
  <c r="BD571"/>
  <c r="BF571"/>
  <c r="BH571"/>
  <c r="AD571" s="1"/>
  <c r="BI571"/>
  <c r="AE571" s="1"/>
  <c r="BJ571"/>
  <c r="J572"/>
  <c r="K572"/>
  <c r="L572"/>
  <c r="AL572" s="1"/>
  <c r="AB572"/>
  <c r="AC572"/>
  <c r="AD572"/>
  <c r="AE572"/>
  <c r="AF572"/>
  <c r="AG572"/>
  <c r="AH572"/>
  <c r="AJ572"/>
  <c r="AK572"/>
  <c r="AO572"/>
  <c r="AP572"/>
  <c r="AV572"/>
  <c r="AW572"/>
  <c r="BC572" s="1"/>
  <c r="AX572"/>
  <c r="BD572"/>
  <c r="BF572"/>
  <c r="BH572"/>
  <c r="BI572"/>
  <c r="BJ572"/>
  <c r="Z572" s="1"/>
  <c r="L573"/>
  <c r="L86" i="4" s="1"/>
  <c r="N86" s="1"/>
  <c r="AS573" i="5"/>
  <c r="J574"/>
  <c r="J573" s="1"/>
  <c r="J86" i="4" s="1"/>
  <c r="K574" i="5"/>
  <c r="K573" s="1"/>
  <c r="K86" i="4" s="1"/>
  <c r="L574" i="5"/>
  <c r="AB574"/>
  <c r="AC574"/>
  <c r="AD574"/>
  <c r="AE574"/>
  <c r="AF574"/>
  <c r="AG574"/>
  <c r="AH574"/>
  <c r="AJ574"/>
  <c r="AK574"/>
  <c r="AT573" s="1"/>
  <c r="AL574"/>
  <c r="AU573" s="1"/>
  <c r="AO574"/>
  <c r="AW574" s="1"/>
  <c r="AP574"/>
  <c r="AX574"/>
  <c r="BD574"/>
  <c r="BF574"/>
  <c r="BH574"/>
  <c r="BI574"/>
  <c r="BJ574"/>
  <c r="Z574" s="1"/>
  <c r="AS575"/>
  <c r="AT575"/>
  <c r="K576"/>
  <c r="K575" s="1"/>
  <c r="K87" i="4" s="1"/>
  <c r="L576" i="5"/>
  <c r="AL576" s="1"/>
  <c r="AU575" s="1"/>
  <c r="Z576"/>
  <c r="AC576"/>
  <c r="AD576"/>
  <c r="AE576"/>
  <c r="AF576"/>
  <c r="AG576"/>
  <c r="AH576"/>
  <c r="AJ576"/>
  <c r="AK576"/>
  <c r="AO576"/>
  <c r="J576" s="1"/>
  <c r="J575" s="1"/>
  <c r="J87" i="4" s="1"/>
  <c r="AP576" i="5"/>
  <c r="AW576"/>
  <c r="J53" i="3" s="1"/>
  <c r="AX576" i="5"/>
  <c r="K53" i="3" s="1"/>
  <c r="BD576" i="5"/>
  <c r="BF576"/>
  <c r="BH576"/>
  <c r="AB576" s="1"/>
  <c r="BI576"/>
  <c r="BJ576"/>
  <c r="J578"/>
  <c r="K578"/>
  <c r="L578"/>
  <c r="Z578"/>
  <c r="AB578"/>
  <c r="AD578"/>
  <c r="AE578"/>
  <c r="AF578"/>
  <c r="AG578"/>
  <c r="AH578"/>
  <c r="AJ578"/>
  <c r="AK578"/>
  <c r="AO578"/>
  <c r="AP578"/>
  <c r="AV578"/>
  <c r="AW578"/>
  <c r="AX578"/>
  <c r="BD578"/>
  <c r="BF578"/>
  <c r="BH578"/>
  <c r="BI578"/>
  <c r="AC578" s="1"/>
  <c r="BJ578"/>
  <c r="J579"/>
  <c r="K579"/>
  <c r="L579"/>
  <c r="Z579"/>
  <c r="AB579"/>
  <c r="AC579"/>
  <c r="AD579"/>
  <c r="AE579"/>
  <c r="AF579"/>
  <c r="AG579"/>
  <c r="AH579"/>
  <c r="AJ579"/>
  <c r="AK579"/>
  <c r="AL579"/>
  <c r="AO579"/>
  <c r="AP579"/>
  <c r="AX579" s="1"/>
  <c r="AV579" s="1"/>
  <c r="AW579"/>
  <c r="BC579" s="1"/>
  <c r="BD579"/>
  <c r="BF579"/>
  <c r="BH579"/>
  <c r="BI579"/>
  <c r="BJ579"/>
  <c r="L580"/>
  <c r="AL580" s="1"/>
  <c r="Z580"/>
  <c r="AC580"/>
  <c r="AD580"/>
  <c r="AE580"/>
  <c r="AF580"/>
  <c r="AG580"/>
  <c r="AH580"/>
  <c r="AJ580"/>
  <c r="AK580"/>
  <c r="AO580"/>
  <c r="AW580" s="1"/>
  <c r="AP580"/>
  <c r="K580" s="1"/>
  <c r="AX580"/>
  <c r="BD580"/>
  <c r="BF580"/>
  <c r="BH580"/>
  <c r="AB580" s="1"/>
  <c r="BI580"/>
  <c r="BJ580"/>
  <c r="AT581"/>
  <c r="K582"/>
  <c r="L582"/>
  <c r="AL582" s="1"/>
  <c r="Z582"/>
  <c r="AC582"/>
  <c r="AD582"/>
  <c r="AE582"/>
  <c r="AF582"/>
  <c r="AG582"/>
  <c r="AH582"/>
  <c r="AJ582"/>
  <c r="AK582"/>
  <c r="AO582"/>
  <c r="J582" s="1"/>
  <c r="AP582"/>
  <c r="AW582"/>
  <c r="AV582" s="1"/>
  <c r="AX582"/>
  <c r="BD582"/>
  <c r="BF582"/>
  <c r="BH582"/>
  <c r="AB582" s="1"/>
  <c r="BI582"/>
  <c r="BJ582"/>
  <c r="L583"/>
  <c r="AL583" s="1"/>
  <c r="Z583"/>
  <c r="AD583"/>
  <c r="AE583"/>
  <c r="AF583"/>
  <c r="AG583"/>
  <c r="AH583"/>
  <c r="AJ583"/>
  <c r="AK583"/>
  <c r="AO583"/>
  <c r="AW583" s="1"/>
  <c r="AP583"/>
  <c r="K583" s="1"/>
  <c r="AX583"/>
  <c r="BD583"/>
  <c r="BF583"/>
  <c r="BH583"/>
  <c r="AB583" s="1"/>
  <c r="BI583"/>
  <c r="AC583" s="1"/>
  <c r="BJ583"/>
  <c r="K585"/>
  <c r="L585"/>
  <c r="AL585" s="1"/>
  <c r="Z585"/>
  <c r="AC585"/>
  <c r="AD585"/>
  <c r="AE585"/>
  <c r="AF585"/>
  <c r="AG585"/>
  <c r="AH585"/>
  <c r="AJ585"/>
  <c r="AK585"/>
  <c r="AO585"/>
  <c r="J585" s="1"/>
  <c r="AP585"/>
  <c r="AW585"/>
  <c r="AV585" s="1"/>
  <c r="AX585"/>
  <c r="BD585"/>
  <c r="BF585"/>
  <c r="BH585"/>
  <c r="AB585" s="1"/>
  <c r="BI585"/>
  <c r="BJ585"/>
  <c r="K586"/>
  <c r="L586"/>
  <c r="Z586"/>
  <c r="AC586"/>
  <c r="AD586"/>
  <c r="AE586"/>
  <c r="AF586"/>
  <c r="AG586"/>
  <c r="AH586"/>
  <c r="AJ586"/>
  <c r="AK586"/>
  <c r="AL586"/>
  <c r="AO586"/>
  <c r="AW586" s="1"/>
  <c r="AP586"/>
  <c r="AX586" s="1"/>
  <c r="BD586"/>
  <c r="BF586"/>
  <c r="BH586"/>
  <c r="AB586" s="1"/>
  <c r="BI586"/>
  <c r="BJ586"/>
  <c r="K589"/>
  <c r="L589"/>
  <c r="AL589" s="1"/>
  <c r="Z589"/>
  <c r="AB589"/>
  <c r="AC589"/>
  <c r="AF589"/>
  <c r="AG589"/>
  <c r="AH589"/>
  <c r="AJ589"/>
  <c r="AK589"/>
  <c r="AO589"/>
  <c r="J589" s="1"/>
  <c r="AP589"/>
  <c r="AW589"/>
  <c r="AX589"/>
  <c r="BD589"/>
  <c r="BF589"/>
  <c r="BH589"/>
  <c r="AD589" s="1"/>
  <c r="BI589"/>
  <c r="AE589" s="1"/>
  <c r="BJ589"/>
  <c r="K591"/>
  <c r="L591"/>
  <c r="Z591"/>
  <c r="AB591"/>
  <c r="AC591"/>
  <c r="AF591"/>
  <c r="AG591"/>
  <c r="AH591"/>
  <c r="AJ591"/>
  <c r="AS588" s="1"/>
  <c r="AK591"/>
  <c r="AT588" s="1"/>
  <c r="AL591"/>
  <c r="AO591"/>
  <c r="AW591" s="1"/>
  <c r="AP591"/>
  <c r="AX591" s="1"/>
  <c r="BD591"/>
  <c r="BF591"/>
  <c r="BH591"/>
  <c r="AD591" s="1"/>
  <c r="BJ591"/>
  <c r="L592"/>
  <c r="AL592" s="1"/>
  <c r="Z592"/>
  <c r="AB592"/>
  <c r="AC592"/>
  <c r="AF592"/>
  <c r="AG592"/>
  <c r="AH592"/>
  <c r="AJ592"/>
  <c r="AK592"/>
  <c r="AO592"/>
  <c r="AW592" s="1"/>
  <c r="AP592"/>
  <c r="AX592" s="1"/>
  <c r="BD592"/>
  <c r="BF592"/>
  <c r="BH592"/>
  <c r="AD592" s="1"/>
  <c r="BI592"/>
  <c r="AE592" s="1"/>
  <c r="BJ592"/>
  <c r="L593"/>
  <c r="AL593" s="1"/>
  <c r="Z593"/>
  <c r="AB593"/>
  <c r="AC593"/>
  <c r="AE593"/>
  <c r="AF593"/>
  <c r="AG593"/>
  <c r="AH593"/>
  <c r="AJ593"/>
  <c r="AK593"/>
  <c r="AO593"/>
  <c r="AW593" s="1"/>
  <c r="AP593"/>
  <c r="AX593" s="1"/>
  <c r="BD593"/>
  <c r="BF593"/>
  <c r="BH593"/>
  <c r="AD593" s="1"/>
  <c r="BI593"/>
  <c r="BJ593"/>
  <c r="K595"/>
  <c r="L595"/>
  <c r="Z595"/>
  <c r="AB595"/>
  <c r="AC595"/>
  <c r="AD595"/>
  <c r="AE595"/>
  <c r="AF595"/>
  <c r="AG595"/>
  <c r="AH595"/>
  <c r="AJ595"/>
  <c r="AK595"/>
  <c r="AL595"/>
  <c r="AO595"/>
  <c r="AW595" s="1"/>
  <c r="AP595"/>
  <c r="AX595" s="1"/>
  <c r="BD595"/>
  <c r="BF595"/>
  <c r="BH595"/>
  <c r="BI595"/>
  <c r="BJ595"/>
  <c r="J597"/>
  <c r="L597"/>
  <c r="Z597"/>
  <c r="AB597"/>
  <c r="AC597"/>
  <c r="AF597"/>
  <c r="AG597"/>
  <c r="AH597"/>
  <c r="AJ597"/>
  <c r="AK597"/>
  <c r="AL597"/>
  <c r="AO597"/>
  <c r="AP597"/>
  <c r="AX597" s="1"/>
  <c r="AW597"/>
  <c r="BD597"/>
  <c r="BF597"/>
  <c r="BH597"/>
  <c r="AD597" s="1"/>
  <c r="BI597"/>
  <c r="AE597" s="1"/>
  <c r="BJ597"/>
  <c r="K599"/>
  <c r="L599"/>
  <c r="AL599" s="1"/>
  <c r="Z599"/>
  <c r="AB599"/>
  <c r="AC599"/>
  <c r="AD599"/>
  <c r="AF599"/>
  <c r="AG599"/>
  <c r="AH599"/>
  <c r="AJ599"/>
  <c r="AK599"/>
  <c r="AO599"/>
  <c r="J599" s="1"/>
  <c r="AP599"/>
  <c r="AW599"/>
  <c r="AV599" s="1"/>
  <c r="AX599"/>
  <c r="BD599"/>
  <c r="BF599"/>
  <c r="BH599"/>
  <c r="BI599"/>
  <c r="AE599" s="1"/>
  <c r="BJ599"/>
  <c r="J600"/>
  <c r="K600"/>
  <c r="L600"/>
  <c r="AL600" s="1"/>
  <c r="Z600"/>
  <c r="AB600"/>
  <c r="AC600"/>
  <c r="AF600"/>
  <c r="AG600"/>
  <c r="AH600"/>
  <c r="AJ600"/>
  <c r="AK600"/>
  <c r="AO600"/>
  <c r="AP600"/>
  <c r="AW600"/>
  <c r="AV600" s="1"/>
  <c r="AX600"/>
  <c r="BD600"/>
  <c r="BF600"/>
  <c r="BH600"/>
  <c r="AD600" s="1"/>
  <c r="BI600"/>
  <c r="AE600" s="1"/>
  <c r="BJ600"/>
  <c r="L602"/>
  <c r="Z602"/>
  <c r="AB602"/>
  <c r="AC602"/>
  <c r="AF602"/>
  <c r="AG602"/>
  <c r="AH602"/>
  <c r="AJ602"/>
  <c r="AK602"/>
  <c r="AL602"/>
  <c r="AO602"/>
  <c r="J602" s="1"/>
  <c r="AP602"/>
  <c r="AX602" s="1"/>
  <c r="BD602"/>
  <c r="BF602"/>
  <c r="BH602"/>
  <c r="AD602" s="1"/>
  <c r="BI602"/>
  <c r="AE602" s="1"/>
  <c r="BJ602"/>
  <c r="L603"/>
  <c r="AL603" s="1"/>
  <c r="Z603"/>
  <c r="AB603"/>
  <c r="AC603"/>
  <c r="AF603"/>
  <c r="AG603"/>
  <c r="AH603"/>
  <c r="AJ603"/>
  <c r="AK603"/>
  <c r="AO603"/>
  <c r="AW603" s="1"/>
  <c r="AP603"/>
  <c r="K603" s="1"/>
  <c r="AX603"/>
  <c r="BD603"/>
  <c r="BF603"/>
  <c r="BH603"/>
  <c r="AD603" s="1"/>
  <c r="BI603"/>
  <c r="AE603" s="1"/>
  <c r="BJ603"/>
  <c r="L604"/>
  <c r="L93" i="4" s="1"/>
  <c r="N93" s="1"/>
  <c r="L605" i="5"/>
  <c r="Z605"/>
  <c r="AB605"/>
  <c r="AC605"/>
  <c r="AD605"/>
  <c r="AE605"/>
  <c r="AF605"/>
  <c r="AG605"/>
  <c r="AH605"/>
  <c r="AJ605"/>
  <c r="AS604" s="1"/>
  <c r="AK605"/>
  <c r="AL605"/>
  <c r="AO605"/>
  <c r="AW605" s="1"/>
  <c r="AP605"/>
  <c r="AX605" s="1"/>
  <c r="BD605"/>
  <c r="BF605"/>
  <c r="BH605"/>
  <c r="BI605"/>
  <c r="BJ605"/>
  <c r="J606"/>
  <c r="K606"/>
  <c r="L606"/>
  <c r="AB606"/>
  <c r="AC606"/>
  <c r="AD606"/>
  <c r="AE606"/>
  <c r="AF606"/>
  <c r="AG606"/>
  <c r="AH606"/>
  <c r="AJ606"/>
  <c r="AK606"/>
  <c r="AL606"/>
  <c r="AO606"/>
  <c r="AP606"/>
  <c r="AV606"/>
  <c r="AW606"/>
  <c r="BC606" s="1"/>
  <c r="AX606"/>
  <c r="BD606"/>
  <c r="BF606"/>
  <c r="BH606"/>
  <c r="BI606"/>
  <c r="BJ606"/>
  <c r="Z606" s="1"/>
  <c r="K607"/>
  <c r="L607"/>
  <c r="Z607"/>
  <c r="AB607"/>
  <c r="AC607"/>
  <c r="AD607"/>
  <c r="AE607"/>
  <c r="AF607"/>
  <c r="AG607"/>
  <c r="AH607"/>
  <c r="AJ607"/>
  <c r="AK607"/>
  <c r="AL607"/>
  <c r="AO607"/>
  <c r="AW607" s="1"/>
  <c r="AP607"/>
  <c r="AX607"/>
  <c r="BD607"/>
  <c r="BF607"/>
  <c r="BH607"/>
  <c r="BI607"/>
  <c r="BJ607"/>
  <c r="J608"/>
  <c r="K608"/>
  <c r="L608"/>
  <c r="AB608"/>
  <c r="AC608"/>
  <c r="AD608"/>
  <c r="AE608"/>
  <c r="AF608"/>
  <c r="AG608"/>
  <c r="AH608"/>
  <c r="AJ608"/>
  <c r="AK608"/>
  <c r="AL608"/>
  <c r="AO608"/>
  <c r="AP608"/>
  <c r="AV608"/>
  <c r="AW608"/>
  <c r="BC608" s="1"/>
  <c r="AX608"/>
  <c r="BD608"/>
  <c r="BF608"/>
  <c r="BH608"/>
  <c r="BI608"/>
  <c r="BJ608"/>
  <c r="Z608" s="1"/>
  <c r="AS610"/>
  <c r="J611"/>
  <c r="K611"/>
  <c r="L611"/>
  <c r="Z611"/>
  <c r="AB611"/>
  <c r="AC611"/>
  <c r="AD611"/>
  <c r="AE611"/>
  <c r="AF611"/>
  <c r="AG611"/>
  <c r="AH611"/>
  <c r="AJ611"/>
  <c r="AK611"/>
  <c r="AL611"/>
  <c r="AO611"/>
  <c r="AP611"/>
  <c r="AV611"/>
  <c r="AW611"/>
  <c r="AX611"/>
  <c r="BD611"/>
  <c r="BF611"/>
  <c r="BH611"/>
  <c r="BI611"/>
  <c r="BJ611"/>
  <c r="L613"/>
  <c r="AL613" s="1"/>
  <c r="Z613"/>
  <c r="AD613"/>
  <c r="AE613"/>
  <c r="AF613"/>
  <c r="AG613"/>
  <c r="AH613"/>
  <c r="AJ613"/>
  <c r="AK613"/>
  <c r="AO613"/>
  <c r="AW613" s="1"/>
  <c r="AP613"/>
  <c r="AX613" s="1"/>
  <c r="BD613"/>
  <c r="BF613"/>
  <c r="BH613"/>
  <c r="AB613" s="1"/>
  <c r="BI613"/>
  <c r="AC613" s="1"/>
  <c r="BJ613"/>
  <c r="J615"/>
  <c r="L615"/>
  <c r="AL615" s="1"/>
  <c r="Z615"/>
  <c r="AD615"/>
  <c r="AE615"/>
  <c r="AF615"/>
  <c r="AG615"/>
  <c r="AH615"/>
  <c r="AJ615"/>
  <c r="AK615"/>
  <c r="AO615"/>
  <c r="AW615" s="1"/>
  <c r="AP615"/>
  <c r="AX615" s="1"/>
  <c r="BD615"/>
  <c r="BF615"/>
  <c r="BH615"/>
  <c r="AB615" s="1"/>
  <c r="BI615"/>
  <c r="AC615" s="1"/>
  <c r="BJ615"/>
  <c r="L616"/>
  <c r="L610" s="1"/>
  <c r="L95" i="4" s="1"/>
  <c r="N95" s="1"/>
  <c r="Z616" i="5"/>
  <c r="AD616"/>
  <c r="AE616"/>
  <c r="AF616"/>
  <c r="AG616"/>
  <c r="AH616"/>
  <c r="AJ616"/>
  <c r="AK616"/>
  <c r="AO616"/>
  <c r="AW616" s="1"/>
  <c r="AP616"/>
  <c r="AX616" s="1"/>
  <c r="BD616"/>
  <c r="BF616"/>
  <c r="BH616"/>
  <c r="AB616" s="1"/>
  <c r="BI616"/>
  <c r="AC616" s="1"/>
  <c r="BJ616"/>
  <c r="J617"/>
  <c r="J96" i="4" s="1"/>
  <c r="AS617" i="5"/>
  <c r="AT617"/>
  <c r="J618"/>
  <c r="K618"/>
  <c r="K617" s="1"/>
  <c r="K96" i="4" s="1"/>
  <c r="L618" i="5"/>
  <c r="AL618" s="1"/>
  <c r="AU617" s="1"/>
  <c r="Z618"/>
  <c r="AC618"/>
  <c r="AD618"/>
  <c r="AE618"/>
  <c r="AF618"/>
  <c r="AG618"/>
  <c r="AH618"/>
  <c r="AJ618"/>
  <c r="AK618"/>
  <c r="AO618"/>
  <c r="AP618"/>
  <c r="AW618"/>
  <c r="AV618" s="1"/>
  <c r="AX618"/>
  <c r="BD618"/>
  <c r="BF618"/>
  <c r="BH618"/>
  <c r="AB618" s="1"/>
  <c r="BI618"/>
  <c r="BJ618"/>
  <c r="AS619"/>
  <c r="K620"/>
  <c r="K619" s="1"/>
  <c r="K97" i="4" s="1"/>
  <c r="L620" i="5"/>
  <c r="AL620" s="1"/>
  <c r="Z620"/>
  <c r="AC620"/>
  <c r="AD620"/>
  <c r="AE620"/>
  <c r="AF620"/>
  <c r="AG620"/>
  <c r="AH620"/>
  <c r="AJ620"/>
  <c r="AK620"/>
  <c r="AO620"/>
  <c r="J620" s="1"/>
  <c r="AP620"/>
  <c r="AW620"/>
  <c r="AV620" s="1"/>
  <c r="AX620"/>
  <c r="BD620"/>
  <c r="BF620"/>
  <c r="BH620"/>
  <c r="AB620" s="1"/>
  <c r="BI620"/>
  <c r="BJ620"/>
  <c r="K621"/>
  <c r="L621"/>
  <c r="Z621"/>
  <c r="AC621"/>
  <c r="AD621"/>
  <c r="AE621"/>
  <c r="AF621"/>
  <c r="AG621"/>
  <c r="AH621"/>
  <c r="AJ621"/>
  <c r="AK621"/>
  <c r="AT619" s="1"/>
  <c r="AL621"/>
  <c r="AO621"/>
  <c r="AW621" s="1"/>
  <c r="AP621"/>
  <c r="AX621" s="1"/>
  <c r="BD621"/>
  <c r="BF621"/>
  <c r="BH621"/>
  <c r="AB621" s="1"/>
  <c r="BI621"/>
  <c r="BJ621"/>
  <c r="L623"/>
  <c r="Z623"/>
  <c r="AB623"/>
  <c r="AC623"/>
  <c r="AD623"/>
  <c r="AE623"/>
  <c r="AF623"/>
  <c r="AG623"/>
  <c r="AH623"/>
  <c r="AJ623"/>
  <c r="AK623"/>
  <c r="AL623"/>
  <c r="AO623"/>
  <c r="AW623" s="1"/>
  <c r="AP623"/>
  <c r="AX623" s="1"/>
  <c r="BD623"/>
  <c r="BF623"/>
  <c r="BH623"/>
  <c r="BI623"/>
  <c r="BJ623"/>
  <c r="J624"/>
  <c r="K624"/>
  <c r="L624"/>
  <c r="AL624" s="1"/>
  <c r="AB624"/>
  <c r="AC624"/>
  <c r="AD624"/>
  <c r="AE624"/>
  <c r="AF624"/>
  <c r="AG624"/>
  <c r="AH624"/>
  <c r="AJ624"/>
  <c r="AK624"/>
  <c r="AT622" s="1"/>
  <c r="AO624"/>
  <c r="AW624" s="1"/>
  <c r="AP624"/>
  <c r="AX624" s="1"/>
  <c r="BD624"/>
  <c r="BF624"/>
  <c r="BH624"/>
  <c r="BI624"/>
  <c r="BJ624"/>
  <c r="Z624" s="1"/>
  <c r="J625"/>
  <c r="K625"/>
  <c r="L625"/>
  <c r="AL625" s="1"/>
  <c r="AB625"/>
  <c r="AC625"/>
  <c r="AD625"/>
  <c r="AE625"/>
  <c r="AF625"/>
  <c r="AG625"/>
  <c r="AH625"/>
  <c r="AJ625"/>
  <c r="AK625"/>
  <c r="AO625"/>
  <c r="AW625" s="1"/>
  <c r="AP625"/>
  <c r="AX625" s="1"/>
  <c r="BD625"/>
  <c r="BF625"/>
  <c r="BH625"/>
  <c r="BI625"/>
  <c r="BJ625"/>
  <c r="Z625" s="1"/>
  <c r="L626"/>
  <c r="AB626"/>
  <c r="AC626"/>
  <c r="AD626"/>
  <c r="AE626"/>
  <c r="AF626"/>
  <c r="AG626"/>
  <c r="AH626"/>
  <c r="AJ626"/>
  <c r="AK626"/>
  <c r="AL626"/>
  <c r="AO626"/>
  <c r="J626" s="1"/>
  <c r="AP626"/>
  <c r="AX626" s="1"/>
  <c r="BD626"/>
  <c r="BF626"/>
  <c r="BH626"/>
  <c r="BI626"/>
  <c r="BJ626"/>
  <c r="Z626" s="1"/>
  <c r="L627"/>
  <c r="Z627"/>
  <c r="AB627"/>
  <c r="AC627"/>
  <c r="AD627"/>
  <c r="AE627"/>
  <c r="AF627"/>
  <c r="AG627"/>
  <c r="AH627"/>
  <c r="AJ627"/>
  <c r="AK627"/>
  <c r="AL627"/>
  <c r="AO627"/>
  <c r="AW627" s="1"/>
  <c r="AP627"/>
  <c r="AX627" s="1"/>
  <c r="BD627"/>
  <c r="BF627"/>
  <c r="BI627"/>
  <c r="BJ627"/>
  <c r="K629"/>
  <c r="L629"/>
  <c r="AL629" s="1"/>
  <c r="Z629"/>
  <c r="AB629"/>
  <c r="AC629"/>
  <c r="AF629"/>
  <c r="AG629"/>
  <c r="AH629"/>
  <c r="AJ629"/>
  <c r="AK629"/>
  <c r="AO629"/>
  <c r="J629" s="1"/>
  <c r="AP629"/>
  <c r="AW629"/>
  <c r="AV629" s="1"/>
  <c r="AX629"/>
  <c r="BC629"/>
  <c r="BD629"/>
  <c r="BF629"/>
  <c r="BH629"/>
  <c r="AD629" s="1"/>
  <c r="BI629"/>
  <c r="AE629" s="1"/>
  <c r="BJ629"/>
  <c r="J630"/>
  <c r="K630"/>
  <c r="L630"/>
  <c r="AL630" s="1"/>
  <c r="Z630"/>
  <c r="AB630"/>
  <c r="AC630"/>
  <c r="AF630"/>
  <c r="AG630"/>
  <c r="AH630"/>
  <c r="AJ630"/>
  <c r="AK630"/>
  <c r="AO630"/>
  <c r="AP630"/>
  <c r="BI630" s="1"/>
  <c r="AE630" s="1"/>
  <c r="AW630"/>
  <c r="AV630" s="1"/>
  <c r="AX630"/>
  <c r="BD630"/>
  <c r="BF630"/>
  <c r="BH630"/>
  <c r="AD630" s="1"/>
  <c r="BJ630"/>
  <c r="J631"/>
  <c r="K631"/>
  <c r="L631"/>
  <c r="AL631" s="1"/>
  <c r="Z631"/>
  <c r="AB631"/>
  <c r="AC631"/>
  <c r="AF631"/>
  <c r="AG631"/>
  <c r="AH631"/>
  <c r="AJ631"/>
  <c r="AK631"/>
  <c r="AO631"/>
  <c r="AP631"/>
  <c r="AV631"/>
  <c r="AW631"/>
  <c r="BC631" s="1"/>
  <c r="AX631"/>
  <c r="BD631"/>
  <c r="BF631"/>
  <c r="BH631"/>
  <c r="AD631" s="1"/>
  <c r="BI631"/>
  <c r="AE631" s="1"/>
  <c r="BJ631"/>
  <c r="L632"/>
  <c r="Z632"/>
  <c r="AB632"/>
  <c r="AC632"/>
  <c r="AD632"/>
  <c r="AF632"/>
  <c r="AG632"/>
  <c r="AH632"/>
  <c r="AJ632"/>
  <c r="AK632"/>
  <c r="AL632"/>
  <c r="AO632"/>
  <c r="AW632" s="1"/>
  <c r="AP632"/>
  <c r="AX632" s="1"/>
  <c r="BD632"/>
  <c r="BF632"/>
  <c r="BH632"/>
  <c r="BJ632"/>
  <c r="L633"/>
  <c r="AL633" s="1"/>
  <c r="Z633"/>
  <c r="AB633"/>
  <c r="AC633"/>
  <c r="AD633"/>
  <c r="AE633"/>
  <c r="AF633"/>
  <c r="AG633"/>
  <c r="AH633"/>
  <c r="AJ633"/>
  <c r="AK633"/>
  <c r="AO633"/>
  <c r="AW633" s="1"/>
  <c r="AP633"/>
  <c r="K633" s="1"/>
  <c r="AX633"/>
  <c r="BD633"/>
  <c r="BF633"/>
  <c r="BH633"/>
  <c r="BI633"/>
  <c r="BJ633"/>
  <c r="K635"/>
  <c r="L635"/>
  <c r="AL635" s="1"/>
  <c r="Z635"/>
  <c r="AB635"/>
  <c r="AC635"/>
  <c r="AF635"/>
  <c r="AG635"/>
  <c r="AH635"/>
  <c r="AJ635"/>
  <c r="AK635"/>
  <c r="AT634" s="1"/>
  <c r="AO635"/>
  <c r="J635" s="1"/>
  <c r="AP635"/>
  <c r="AW635"/>
  <c r="AV635" s="1"/>
  <c r="AX635"/>
  <c r="BD635"/>
  <c r="BF635"/>
  <c r="BH635"/>
  <c r="AD635" s="1"/>
  <c r="BI635"/>
  <c r="AE635" s="1"/>
  <c r="BJ635"/>
  <c r="L636"/>
  <c r="Z636"/>
  <c r="AB636"/>
  <c r="AC636"/>
  <c r="AF636"/>
  <c r="AG636"/>
  <c r="AH636"/>
  <c r="AJ636"/>
  <c r="AK636"/>
  <c r="AL636"/>
  <c r="AO636"/>
  <c r="J636" s="1"/>
  <c r="AP636"/>
  <c r="AX636" s="1"/>
  <c r="BD636"/>
  <c r="BF636"/>
  <c r="BH636"/>
  <c r="AD636" s="1"/>
  <c r="BJ636"/>
  <c r="L637"/>
  <c r="Z637"/>
  <c r="AB637"/>
  <c r="AC637"/>
  <c r="AF637"/>
  <c r="AG637"/>
  <c r="AH637"/>
  <c r="AJ637"/>
  <c r="AK637"/>
  <c r="AL637"/>
  <c r="AO637"/>
  <c r="J637" s="1"/>
  <c r="AP637"/>
  <c r="AX637" s="1"/>
  <c r="BD637"/>
  <c r="BF637"/>
  <c r="BH637"/>
  <c r="AD637" s="1"/>
  <c r="BJ637"/>
  <c r="L638"/>
  <c r="Z638"/>
  <c r="AB638"/>
  <c r="AC638"/>
  <c r="AF638"/>
  <c r="AG638"/>
  <c r="AH638"/>
  <c r="AJ638"/>
  <c r="AK638"/>
  <c r="AL638"/>
  <c r="AO638"/>
  <c r="J638" s="1"/>
  <c r="AP638"/>
  <c r="AX638" s="1"/>
  <c r="BD638"/>
  <c r="BF638"/>
  <c r="BI638"/>
  <c r="AE638" s="1"/>
  <c r="BJ638"/>
  <c r="L639"/>
  <c r="Z639"/>
  <c r="AB639"/>
  <c r="AC639"/>
  <c r="AF639"/>
  <c r="AG639"/>
  <c r="AH639"/>
  <c r="AJ639"/>
  <c r="AK639"/>
  <c r="AL639"/>
  <c r="AO639"/>
  <c r="J639" s="1"/>
  <c r="AP639"/>
  <c r="AX639" s="1"/>
  <c r="BD639"/>
  <c r="BF639"/>
  <c r="BH639"/>
  <c r="AD639" s="1"/>
  <c r="BI639"/>
  <c r="AE639" s="1"/>
  <c r="BJ639"/>
  <c r="L640"/>
  <c r="Z640"/>
  <c r="AB640"/>
  <c r="AC640"/>
  <c r="AF640"/>
  <c r="AG640"/>
  <c r="AH640"/>
  <c r="AJ640"/>
  <c r="AK640"/>
  <c r="AL640"/>
  <c r="AO640"/>
  <c r="AW640" s="1"/>
  <c r="AP640"/>
  <c r="AX640" s="1"/>
  <c r="BD640"/>
  <c r="BF640"/>
  <c r="BH640"/>
  <c r="AD640" s="1"/>
  <c r="BJ640"/>
  <c r="L641"/>
  <c r="Z641"/>
  <c r="AB641"/>
  <c r="AC641"/>
  <c r="AF641"/>
  <c r="AG641"/>
  <c r="AH641"/>
  <c r="AJ641"/>
  <c r="AK641"/>
  <c r="AL641"/>
  <c r="AO641"/>
  <c r="AW641" s="1"/>
  <c r="AP641"/>
  <c r="BI641" s="1"/>
  <c r="AE641" s="1"/>
  <c r="BD641"/>
  <c r="BF641"/>
  <c r="BJ641"/>
  <c r="L642"/>
  <c r="AB642"/>
  <c r="AC642"/>
  <c r="AD642"/>
  <c r="AE642"/>
  <c r="AF642"/>
  <c r="AG642"/>
  <c r="AH642"/>
  <c r="AJ642"/>
  <c r="AK642"/>
  <c r="AL642"/>
  <c r="AO642"/>
  <c r="J642" s="1"/>
  <c r="AP642"/>
  <c r="AX642" s="1"/>
  <c r="BD642"/>
  <c r="BF642"/>
  <c r="BH642"/>
  <c r="BJ642"/>
  <c r="Z642" s="1"/>
  <c r="AS643"/>
  <c r="AT643"/>
  <c r="AU643"/>
  <c r="J644"/>
  <c r="J643" s="1"/>
  <c r="J101" i="4" s="1"/>
  <c r="L644" i="5"/>
  <c r="L643" s="1"/>
  <c r="L101" i="4" s="1"/>
  <c r="N101" s="1"/>
  <c r="AB644" i="5"/>
  <c r="AC644"/>
  <c r="AD644"/>
  <c r="AE644"/>
  <c r="AF644"/>
  <c r="AG644"/>
  <c r="AH644"/>
  <c r="AJ644"/>
  <c r="AK644"/>
  <c r="AL644"/>
  <c r="AO644"/>
  <c r="AW644" s="1"/>
  <c r="AP644"/>
  <c r="K644" s="1"/>
  <c r="K643" s="1"/>
  <c r="K101" i="4" s="1"/>
  <c r="BD644" i="5"/>
  <c r="BF644"/>
  <c r="BH644"/>
  <c r="BI644"/>
  <c r="BJ644"/>
  <c r="Z644" s="1"/>
  <c r="J646"/>
  <c r="L646"/>
  <c r="Z646"/>
  <c r="AB646"/>
  <c r="AD646"/>
  <c r="AE646"/>
  <c r="AF646"/>
  <c r="AG646"/>
  <c r="AH646"/>
  <c r="AJ646"/>
  <c r="AK646"/>
  <c r="AL646"/>
  <c r="AO646"/>
  <c r="AP646"/>
  <c r="AX646" s="1"/>
  <c r="AW646"/>
  <c r="BD646"/>
  <c r="BF646"/>
  <c r="BH646"/>
  <c r="BJ646"/>
  <c r="K647"/>
  <c r="L647"/>
  <c r="Z647"/>
  <c r="AB647"/>
  <c r="AC647"/>
  <c r="AD647"/>
  <c r="AE647"/>
  <c r="AF647"/>
  <c r="AG647"/>
  <c r="AH647"/>
  <c r="AJ647"/>
  <c r="AK647"/>
  <c r="AL647"/>
  <c r="AO647"/>
  <c r="AW647" s="1"/>
  <c r="AP647"/>
  <c r="AX647" s="1"/>
  <c r="BD647"/>
  <c r="BF647"/>
  <c r="BH647"/>
  <c r="BI647"/>
  <c r="BJ647"/>
  <c r="J648"/>
  <c r="K648"/>
  <c r="L648"/>
  <c r="AL648" s="1"/>
  <c r="Z648"/>
  <c r="AC648"/>
  <c r="AD648"/>
  <c r="AE648"/>
  <c r="AF648"/>
  <c r="AG648"/>
  <c r="AH648"/>
  <c r="AJ648"/>
  <c r="AK648"/>
  <c r="AO648"/>
  <c r="AP648"/>
  <c r="AV648"/>
  <c r="AW648"/>
  <c r="BC648" s="1"/>
  <c r="AX648"/>
  <c r="BD648"/>
  <c r="BF648"/>
  <c r="BH648"/>
  <c r="AB648" s="1"/>
  <c r="BI648"/>
  <c r="BJ648"/>
  <c r="J649"/>
  <c r="L649"/>
  <c r="L645" s="1"/>
  <c r="L102" i="4" s="1"/>
  <c r="N102" s="1"/>
  <c r="Z649" i="5"/>
  <c r="AB649"/>
  <c r="AD649"/>
  <c r="AE649"/>
  <c r="AF649"/>
  <c r="AG649"/>
  <c r="AH649"/>
  <c r="AJ649"/>
  <c r="AK649"/>
  <c r="AL649"/>
  <c r="AO649"/>
  <c r="AP649"/>
  <c r="AX649" s="1"/>
  <c r="BC649" s="1"/>
  <c r="AW649"/>
  <c r="BD649"/>
  <c r="BF649"/>
  <c r="BH649"/>
  <c r="BI649"/>
  <c r="AC649" s="1"/>
  <c r="BJ649"/>
  <c r="K651"/>
  <c r="L651"/>
  <c r="AL651" s="1"/>
  <c r="Z651"/>
  <c r="AD651"/>
  <c r="AE651"/>
  <c r="AF651"/>
  <c r="AG651"/>
  <c r="AH651"/>
  <c r="AJ651"/>
  <c r="AK651"/>
  <c r="AO651"/>
  <c r="J651" s="1"/>
  <c r="AP651"/>
  <c r="AW651"/>
  <c r="AV651" s="1"/>
  <c r="AX651"/>
  <c r="BD651"/>
  <c r="BF651"/>
  <c r="BH651"/>
  <c r="AB651" s="1"/>
  <c r="BI651"/>
  <c r="AC651" s="1"/>
  <c r="BJ651"/>
  <c r="J652"/>
  <c r="K652"/>
  <c r="L652"/>
  <c r="AL652" s="1"/>
  <c r="Z652"/>
  <c r="AB652"/>
  <c r="AC652"/>
  <c r="AD652"/>
  <c r="AE652"/>
  <c r="AF652"/>
  <c r="AG652"/>
  <c r="AH652"/>
  <c r="AJ652"/>
  <c r="AK652"/>
  <c r="AO652"/>
  <c r="AP652"/>
  <c r="AV652"/>
  <c r="AW652"/>
  <c r="AX652"/>
  <c r="BC652"/>
  <c r="BD652"/>
  <c r="BF652"/>
  <c r="BH652"/>
  <c r="BI652"/>
  <c r="BJ652"/>
  <c r="K653"/>
  <c r="L653"/>
  <c r="Z653"/>
  <c r="AB653"/>
  <c r="AC653"/>
  <c r="AD653"/>
  <c r="AE653"/>
  <c r="AF653"/>
  <c r="AG653"/>
  <c r="AH653"/>
  <c r="AJ653"/>
  <c r="AK653"/>
  <c r="AL653"/>
  <c r="AO653"/>
  <c r="J653" s="1"/>
  <c r="AP653"/>
  <c r="AW653"/>
  <c r="AV653" s="1"/>
  <c r="AX653"/>
  <c r="BD653"/>
  <c r="BF653"/>
  <c r="BH653"/>
  <c r="BI653"/>
  <c r="BJ653"/>
  <c r="L654"/>
  <c r="Z654"/>
  <c r="AD654"/>
  <c r="AE654"/>
  <c r="AF654"/>
  <c r="AG654"/>
  <c r="AH654"/>
  <c r="AJ654"/>
  <c r="AK654"/>
  <c r="AL654"/>
  <c r="AO654"/>
  <c r="AW654" s="1"/>
  <c r="AP654"/>
  <c r="AX654" s="1"/>
  <c r="BD654"/>
  <c r="BF654"/>
  <c r="BH654"/>
  <c r="AB654" s="1"/>
  <c r="BI654"/>
  <c r="AC654" s="1"/>
  <c r="BJ654"/>
  <c r="L655"/>
  <c r="AL655" s="1"/>
  <c r="Z655"/>
  <c r="AC655"/>
  <c r="AD655"/>
  <c r="AE655"/>
  <c r="AF655"/>
  <c r="AG655"/>
  <c r="AH655"/>
  <c r="AJ655"/>
  <c r="AK655"/>
  <c r="AO655"/>
  <c r="AW655" s="1"/>
  <c r="AP655"/>
  <c r="K655" s="1"/>
  <c r="AX655"/>
  <c r="BD655"/>
  <c r="BF655"/>
  <c r="BI655"/>
  <c r="BJ655"/>
  <c r="K656"/>
  <c r="L656"/>
  <c r="Z656"/>
  <c r="AB656"/>
  <c r="AC656"/>
  <c r="AD656"/>
  <c r="AE656"/>
  <c r="AF656"/>
  <c r="AG656"/>
  <c r="AH656"/>
  <c r="AJ656"/>
  <c r="AK656"/>
  <c r="AL656"/>
  <c r="AO656"/>
  <c r="J656" s="1"/>
  <c r="AP656"/>
  <c r="AW656"/>
  <c r="AV656" s="1"/>
  <c r="AX656"/>
  <c r="BD656"/>
  <c r="BF656"/>
  <c r="BH656"/>
  <c r="BI656"/>
  <c r="BJ656"/>
  <c r="L657"/>
  <c r="Z657"/>
  <c r="AD657"/>
  <c r="AE657"/>
  <c r="AF657"/>
  <c r="AG657"/>
  <c r="AH657"/>
  <c r="AJ657"/>
  <c r="AK657"/>
  <c r="AL657"/>
  <c r="AO657"/>
  <c r="AW657" s="1"/>
  <c r="AP657"/>
  <c r="AX657" s="1"/>
  <c r="BD657"/>
  <c r="BF657"/>
  <c r="BH657"/>
  <c r="AB657" s="1"/>
  <c r="BJ657"/>
  <c r="L658"/>
  <c r="Z658"/>
  <c r="AD658"/>
  <c r="AE658"/>
  <c r="AF658"/>
  <c r="AG658"/>
  <c r="AH658"/>
  <c r="AJ658"/>
  <c r="AK658"/>
  <c r="AL658"/>
  <c r="AO658"/>
  <c r="AW658" s="1"/>
  <c r="AP658"/>
  <c r="AX658" s="1"/>
  <c r="BD658"/>
  <c r="BF658"/>
  <c r="BH658"/>
  <c r="AB658" s="1"/>
  <c r="BJ658"/>
  <c r="L659"/>
  <c r="Z659"/>
  <c r="AD659"/>
  <c r="AE659"/>
  <c r="AF659"/>
  <c r="AG659"/>
  <c r="AH659"/>
  <c r="AJ659"/>
  <c r="AK659"/>
  <c r="AL659"/>
  <c r="AO659"/>
  <c r="AW659" s="1"/>
  <c r="AP659"/>
  <c r="AX659" s="1"/>
  <c r="BD659"/>
  <c r="BF659"/>
  <c r="BH659"/>
  <c r="AB659" s="1"/>
  <c r="BI659"/>
  <c r="AC659" s="1"/>
  <c r="BJ659"/>
  <c r="L660"/>
  <c r="AL660" s="1"/>
  <c r="Z660"/>
  <c r="AC660"/>
  <c r="AD660"/>
  <c r="AE660"/>
  <c r="AF660"/>
  <c r="AG660"/>
  <c r="AH660"/>
  <c r="AJ660"/>
  <c r="AK660"/>
  <c r="AO660"/>
  <c r="AW660" s="1"/>
  <c r="AP660"/>
  <c r="K660" s="1"/>
  <c r="AX660"/>
  <c r="BD660"/>
  <c r="BF660"/>
  <c r="BH660"/>
  <c r="AB660" s="1"/>
  <c r="BI660"/>
  <c r="BJ660"/>
  <c r="J661"/>
  <c r="K661"/>
  <c r="L661"/>
  <c r="AL661" s="1"/>
  <c r="Z661"/>
  <c r="AB661"/>
  <c r="AD661"/>
  <c r="AE661"/>
  <c r="AF661"/>
  <c r="AG661"/>
  <c r="AH661"/>
  <c r="AJ661"/>
  <c r="AK661"/>
  <c r="AO661"/>
  <c r="AP661"/>
  <c r="AV661"/>
  <c r="AW661"/>
  <c r="AX661"/>
  <c r="BC661"/>
  <c r="BD661"/>
  <c r="BF661"/>
  <c r="BH661"/>
  <c r="BI661"/>
  <c r="AC661" s="1"/>
  <c r="BJ661"/>
  <c r="L662"/>
  <c r="L104" i="4" s="1"/>
  <c r="N104" s="1"/>
  <c r="AT662" i="5"/>
  <c r="AU662"/>
  <c r="L663"/>
  <c r="Z663"/>
  <c r="AD663"/>
  <c r="AE663"/>
  <c r="AF663"/>
  <c r="AG663"/>
  <c r="AH663"/>
  <c r="AJ663"/>
  <c r="AS662" s="1"/>
  <c r="AK663"/>
  <c r="AL663"/>
  <c r="AO663"/>
  <c r="AW663" s="1"/>
  <c r="AP663"/>
  <c r="AX663" s="1"/>
  <c r="BD663"/>
  <c r="BF663"/>
  <c r="BH663"/>
  <c r="AB663" s="1"/>
  <c r="BJ663"/>
  <c r="J665"/>
  <c r="L665"/>
  <c r="Z665"/>
  <c r="AB665"/>
  <c r="AC665"/>
  <c r="AD665"/>
  <c r="AE665"/>
  <c r="AF665"/>
  <c r="AG665"/>
  <c r="AH665"/>
  <c r="AJ665"/>
  <c r="AK665"/>
  <c r="AL665"/>
  <c r="AO665"/>
  <c r="AW665" s="1"/>
  <c r="AP665"/>
  <c r="K665" s="1"/>
  <c r="AX665"/>
  <c r="BD665"/>
  <c r="BF665"/>
  <c r="BH665"/>
  <c r="BI665"/>
  <c r="BJ665"/>
  <c r="J666"/>
  <c r="K666"/>
  <c r="L666"/>
  <c r="AL666" s="1"/>
  <c r="Z666"/>
  <c r="AB666"/>
  <c r="AC666"/>
  <c r="AD666"/>
  <c r="AE666"/>
  <c r="AF666"/>
  <c r="AG666"/>
  <c r="AH666"/>
  <c r="AJ666"/>
  <c r="AK666"/>
  <c r="AO666"/>
  <c r="AP666"/>
  <c r="AV666"/>
  <c r="AW666"/>
  <c r="AX666"/>
  <c r="BC666"/>
  <c r="BD666"/>
  <c r="BF666"/>
  <c r="BH666"/>
  <c r="BI666"/>
  <c r="BJ666"/>
  <c r="K667"/>
  <c r="L667"/>
  <c r="Z667"/>
  <c r="AB667"/>
  <c r="AC667"/>
  <c r="AD667"/>
  <c r="AE667"/>
  <c r="AF667"/>
  <c r="AG667"/>
  <c r="AH667"/>
  <c r="AJ667"/>
  <c r="AK667"/>
  <c r="AL667"/>
  <c r="AO667"/>
  <c r="J667" s="1"/>
  <c r="AP667"/>
  <c r="AW667"/>
  <c r="AV667" s="1"/>
  <c r="AX667"/>
  <c r="BD667"/>
  <c r="BF667"/>
  <c r="BH667"/>
  <c r="BI667"/>
  <c r="BJ667"/>
  <c r="L668"/>
  <c r="Z668"/>
  <c r="AD668"/>
  <c r="AE668"/>
  <c r="AF668"/>
  <c r="AG668"/>
  <c r="AH668"/>
  <c r="AJ668"/>
  <c r="AK668"/>
  <c r="AL668"/>
  <c r="AO668"/>
  <c r="AW668" s="1"/>
  <c r="AP668"/>
  <c r="AX668" s="1"/>
  <c r="BD668"/>
  <c r="BF668"/>
  <c r="BH668"/>
  <c r="AB668" s="1"/>
  <c r="BI668"/>
  <c r="AC668" s="1"/>
  <c r="BJ668"/>
  <c r="L669"/>
  <c r="AL669" s="1"/>
  <c r="Z669"/>
  <c r="AC669"/>
  <c r="AD669"/>
  <c r="AE669"/>
  <c r="AF669"/>
  <c r="AG669"/>
  <c r="AH669"/>
  <c r="AJ669"/>
  <c r="AK669"/>
  <c r="AO669"/>
  <c r="AW669" s="1"/>
  <c r="AP669"/>
  <c r="K669" s="1"/>
  <c r="AX669"/>
  <c r="BD669"/>
  <c r="BF669"/>
  <c r="BH669"/>
  <c r="AB669" s="1"/>
  <c r="BI669"/>
  <c r="BJ669"/>
  <c r="L671"/>
  <c r="AL671" s="1"/>
  <c r="Z671"/>
  <c r="AC671"/>
  <c r="AD671"/>
  <c r="AE671"/>
  <c r="AF671"/>
  <c r="AG671"/>
  <c r="AH671"/>
  <c r="AJ671"/>
  <c r="AK671"/>
  <c r="AO671"/>
  <c r="AW671" s="1"/>
  <c r="AP671"/>
  <c r="K671" s="1"/>
  <c r="AX671"/>
  <c r="BD671"/>
  <c r="BF671"/>
  <c r="BH671"/>
  <c r="AB671" s="1"/>
  <c r="BI671"/>
  <c r="BJ671"/>
  <c r="J672"/>
  <c r="L672"/>
  <c r="Z672"/>
  <c r="AD672"/>
  <c r="AE672"/>
  <c r="AF672"/>
  <c r="AG672"/>
  <c r="AH672"/>
  <c r="AJ672"/>
  <c r="AK672"/>
  <c r="AL672"/>
  <c r="AO672"/>
  <c r="AP672"/>
  <c r="BI672" s="1"/>
  <c r="AC672" s="1"/>
  <c r="AW672"/>
  <c r="BD672"/>
  <c r="BF672"/>
  <c r="BH672"/>
  <c r="AB672" s="1"/>
  <c r="BJ672"/>
  <c r="L673"/>
  <c r="Z673"/>
  <c r="AC673"/>
  <c r="AD673"/>
  <c r="AE673"/>
  <c r="AF673"/>
  <c r="AG673"/>
  <c r="AH673"/>
  <c r="AJ673"/>
  <c r="AS670" s="1"/>
  <c r="AK673"/>
  <c r="AT670" s="1"/>
  <c r="AL673"/>
  <c r="AO673"/>
  <c r="AW673" s="1"/>
  <c r="AP673"/>
  <c r="AX673" s="1"/>
  <c r="BD673"/>
  <c r="BF673"/>
  <c r="BI673"/>
  <c r="BJ673"/>
  <c r="L674"/>
  <c r="Z674"/>
  <c r="AD674"/>
  <c r="AE674"/>
  <c r="AF674"/>
  <c r="AG674"/>
  <c r="AH674"/>
  <c r="AJ674"/>
  <c r="AK674"/>
  <c r="AL674"/>
  <c r="AO674"/>
  <c r="AW674" s="1"/>
  <c r="AP674"/>
  <c r="AX674" s="1"/>
  <c r="BD674"/>
  <c r="BF674"/>
  <c r="BH674"/>
  <c r="AB674" s="1"/>
  <c r="BI674"/>
  <c r="AC674" s="1"/>
  <c r="BJ674"/>
  <c r="L675"/>
  <c r="Z675"/>
  <c r="AC675"/>
  <c r="AD675"/>
  <c r="AE675"/>
  <c r="AF675"/>
  <c r="AG675"/>
  <c r="AH675"/>
  <c r="AJ675"/>
  <c r="AK675"/>
  <c r="AL675"/>
  <c r="AO675"/>
  <c r="AW675" s="1"/>
  <c r="AP675"/>
  <c r="AX675" s="1"/>
  <c r="BD675"/>
  <c r="BF675"/>
  <c r="BH675"/>
  <c r="AB675" s="1"/>
  <c r="BI675"/>
  <c r="BJ675"/>
  <c r="L677"/>
  <c r="L676" s="1"/>
  <c r="L107" i="4" s="1"/>
  <c r="N107" s="1"/>
  <c r="Z677" i="5"/>
  <c r="AC677"/>
  <c r="AD677"/>
  <c r="AE677"/>
  <c r="AF677"/>
  <c r="AG677"/>
  <c r="AH677"/>
  <c r="AJ677"/>
  <c r="AK677"/>
  <c r="AL677"/>
  <c r="AO677"/>
  <c r="AW677" s="1"/>
  <c r="AP677"/>
  <c r="K677" s="1"/>
  <c r="AX677"/>
  <c r="BD677"/>
  <c r="BF677"/>
  <c r="BH677"/>
  <c r="AB677" s="1"/>
  <c r="BI677"/>
  <c r="BJ677"/>
  <c r="J678"/>
  <c r="L678"/>
  <c r="Z678"/>
  <c r="AB678"/>
  <c r="AD678"/>
  <c r="AE678"/>
  <c r="AF678"/>
  <c r="AG678"/>
  <c r="AH678"/>
  <c r="AJ678"/>
  <c r="AS676" s="1"/>
  <c r="AK678"/>
  <c r="AT676" s="1"/>
  <c r="AL678"/>
  <c r="AO678"/>
  <c r="AP678"/>
  <c r="K678" s="1"/>
  <c r="AW678"/>
  <c r="BD678"/>
  <c r="BF678"/>
  <c r="BH678"/>
  <c r="BI678"/>
  <c r="AC678" s="1"/>
  <c r="BJ678"/>
  <c r="L679"/>
  <c r="Z679"/>
  <c r="AC679"/>
  <c r="AD679"/>
  <c r="AE679"/>
  <c r="AF679"/>
  <c r="AG679"/>
  <c r="AH679"/>
  <c r="AJ679"/>
  <c r="AK679"/>
  <c r="AL679"/>
  <c r="AO679"/>
  <c r="AW679" s="1"/>
  <c r="AP679"/>
  <c r="K679" s="1"/>
  <c r="BD679"/>
  <c r="BF679"/>
  <c r="BH679"/>
  <c r="AB679" s="1"/>
  <c r="BI679"/>
  <c r="BJ679"/>
  <c r="L681"/>
  <c r="Z681"/>
  <c r="AC681"/>
  <c r="AD681"/>
  <c r="AE681"/>
  <c r="AF681"/>
  <c r="AG681"/>
  <c r="AH681"/>
  <c r="AJ681"/>
  <c r="AK681"/>
  <c r="AL681"/>
  <c r="AO681"/>
  <c r="AW681" s="1"/>
  <c r="AP681"/>
  <c r="K681" s="1"/>
  <c r="BD681"/>
  <c r="BF681"/>
  <c r="BH681"/>
  <c r="AB681" s="1"/>
  <c r="BI681"/>
  <c r="BJ681"/>
  <c r="L682"/>
  <c r="AL682" s="1"/>
  <c r="Z682"/>
  <c r="AD682"/>
  <c r="AE682"/>
  <c r="AF682"/>
  <c r="AG682"/>
  <c r="AH682"/>
  <c r="AJ682"/>
  <c r="AK682"/>
  <c r="AO682"/>
  <c r="AW682" s="1"/>
  <c r="AP682"/>
  <c r="AX682" s="1"/>
  <c r="BD682"/>
  <c r="BF682"/>
  <c r="BH682"/>
  <c r="AB682" s="1"/>
  <c r="BI682"/>
  <c r="AC682" s="1"/>
  <c r="BJ682"/>
  <c r="J683"/>
  <c r="K683"/>
  <c r="L683"/>
  <c r="AL683" s="1"/>
  <c r="Z683"/>
  <c r="AB683"/>
  <c r="AD683"/>
  <c r="AE683"/>
  <c r="AF683"/>
  <c r="AG683"/>
  <c r="AH683"/>
  <c r="AJ683"/>
  <c r="AK683"/>
  <c r="AO683"/>
  <c r="AP683"/>
  <c r="AX683" s="1"/>
  <c r="AV683" s="1"/>
  <c r="AW683"/>
  <c r="BD683"/>
  <c r="BF683"/>
  <c r="BH683"/>
  <c r="BI683"/>
  <c r="AC683" s="1"/>
  <c r="BJ683"/>
  <c r="K684"/>
  <c r="L684"/>
  <c r="Z684"/>
  <c r="AC684"/>
  <c r="AD684"/>
  <c r="AE684"/>
  <c r="AF684"/>
  <c r="AG684"/>
  <c r="AH684"/>
  <c r="AJ684"/>
  <c r="AK684"/>
  <c r="AL684"/>
  <c r="AO684"/>
  <c r="AW684" s="1"/>
  <c r="AP684"/>
  <c r="AX684" s="1"/>
  <c r="BD684"/>
  <c r="BF684"/>
  <c r="BI684"/>
  <c r="BJ684"/>
  <c r="K686"/>
  <c r="L686"/>
  <c r="Z686"/>
  <c r="AB686"/>
  <c r="AC686"/>
  <c r="AD686"/>
  <c r="AE686"/>
  <c r="AF686"/>
  <c r="AG686"/>
  <c r="AH686"/>
  <c r="AJ686"/>
  <c r="AK686"/>
  <c r="AL686"/>
  <c r="AO686"/>
  <c r="AW686" s="1"/>
  <c r="AP686"/>
  <c r="AX686" s="1"/>
  <c r="BD686"/>
  <c r="BF686"/>
  <c r="BH686"/>
  <c r="BI686"/>
  <c r="BJ686"/>
  <c r="K688"/>
  <c r="L688"/>
  <c r="Z688"/>
  <c r="AB688"/>
  <c r="AC688"/>
  <c r="AD688"/>
  <c r="AE688"/>
  <c r="AF688"/>
  <c r="AG688"/>
  <c r="AH688"/>
  <c r="AJ688"/>
  <c r="AK688"/>
  <c r="AO688"/>
  <c r="J688" s="1"/>
  <c r="AP688"/>
  <c r="AW688"/>
  <c r="AV688" s="1"/>
  <c r="AX688"/>
  <c r="BD688"/>
  <c r="BF688"/>
  <c r="BH688"/>
  <c r="BI688"/>
  <c r="BJ688"/>
  <c r="J689"/>
  <c r="K689"/>
  <c r="L689"/>
  <c r="AL689" s="1"/>
  <c r="Z689"/>
  <c r="AB689"/>
  <c r="AD689"/>
  <c r="AE689"/>
  <c r="AF689"/>
  <c r="AG689"/>
  <c r="AH689"/>
  <c r="AJ689"/>
  <c r="AK689"/>
  <c r="AO689"/>
  <c r="AP689"/>
  <c r="AV689"/>
  <c r="AW689"/>
  <c r="BC689" s="1"/>
  <c r="AX689"/>
  <c r="BD689"/>
  <c r="BF689"/>
  <c r="BH689"/>
  <c r="BI689"/>
  <c r="AC689" s="1"/>
  <c r="BJ689"/>
  <c r="L691"/>
  <c r="AL691" s="1"/>
  <c r="Z691"/>
  <c r="AB691"/>
  <c r="AC691"/>
  <c r="AD691"/>
  <c r="AE691"/>
  <c r="AF691"/>
  <c r="AG691"/>
  <c r="AH691"/>
  <c r="AJ691"/>
  <c r="AK691"/>
  <c r="AO691"/>
  <c r="AW691" s="1"/>
  <c r="AP691"/>
  <c r="K691" s="1"/>
  <c r="AX691"/>
  <c r="BD691"/>
  <c r="BF691"/>
  <c r="BH691"/>
  <c r="BI691"/>
  <c r="BJ691"/>
  <c r="L692"/>
  <c r="AL692" s="1"/>
  <c r="Z692"/>
  <c r="AB692"/>
  <c r="AD692"/>
  <c r="AE692"/>
  <c r="AF692"/>
  <c r="AG692"/>
  <c r="AH692"/>
  <c r="AJ692"/>
  <c r="AK692"/>
  <c r="AO692"/>
  <c r="AW692" s="1"/>
  <c r="AP692"/>
  <c r="K692" s="1"/>
  <c r="AX692"/>
  <c r="BD692"/>
  <c r="BF692"/>
  <c r="BH692"/>
  <c r="BI692"/>
  <c r="AC692" s="1"/>
  <c r="BJ692"/>
  <c r="K693"/>
  <c r="L693"/>
  <c r="AL693" s="1"/>
  <c r="Z693"/>
  <c r="AC693"/>
  <c r="AD693"/>
  <c r="AE693"/>
  <c r="AF693"/>
  <c r="AG693"/>
  <c r="AH693"/>
  <c r="AJ693"/>
  <c r="AK693"/>
  <c r="AO693"/>
  <c r="AW693" s="1"/>
  <c r="AP693"/>
  <c r="AX693"/>
  <c r="BD693"/>
  <c r="BF693"/>
  <c r="BH693"/>
  <c r="AB693" s="1"/>
  <c r="BI693"/>
  <c r="BJ693"/>
  <c r="K694"/>
  <c r="K111" i="4" s="1"/>
  <c r="AT694" i="5"/>
  <c r="K695"/>
  <c r="L695"/>
  <c r="AL695" s="1"/>
  <c r="AU694" s="1"/>
  <c r="Z695"/>
  <c r="AC695"/>
  <c r="AD695"/>
  <c r="AE695"/>
  <c r="AF695"/>
  <c r="AG695"/>
  <c r="AH695"/>
  <c r="AJ695"/>
  <c r="AS694" s="1"/>
  <c r="AK695"/>
  <c r="AO695"/>
  <c r="AW695" s="1"/>
  <c r="AP695"/>
  <c r="AX695"/>
  <c r="BD695"/>
  <c r="BF695"/>
  <c r="BH695"/>
  <c r="AB695" s="1"/>
  <c r="BI695"/>
  <c r="BJ695"/>
  <c r="L696"/>
  <c r="L112" i="4" s="1"/>
  <c r="N112" s="1"/>
  <c r="AS696" i="5"/>
  <c r="J697"/>
  <c r="J696" s="1"/>
  <c r="J112" i="4" s="1"/>
  <c r="K697" i="5"/>
  <c r="K696" s="1"/>
  <c r="K112" i="4" s="1"/>
  <c r="L697" i="5"/>
  <c r="Z697"/>
  <c r="AB697"/>
  <c r="AC697"/>
  <c r="AD697"/>
  <c r="AE697"/>
  <c r="AF697"/>
  <c r="AG697"/>
  <c r="AH697"/>
  <c r="AJ697"/>
  <c r="AK697"/>
  <c r="AT696" s="1"/>
  <c r="AL697"/>
  <c r="AU696" s="1"/>
  <c r="AO697"/>
  <c r="AP697"/>
  <c r="AV697"/>
  <c r="AW697"/>
  <c r="BC697" s="1"/>
  <c r="AX697"/>
  <c r="BD697"/>
  <c r="BF697"/>
  <c r="BH697"/>
  <c r="BI697"/>
  <c r="BJ697"/>
  <c r="L699"/>
  <c r="AL699" s="1"/>
  <c r="Z699"/>
  <c r="AD699"/>
  <c r="AE699"/>
  <c r="AF699"/>
  <c r="AG699"/>
  <c r="AH699"/>
  <c r="AJ699"/>
  <c r="AK699"/>
  <c r="AO699"/>
  <c r="AW699" s="1"/>
  <c r="AP699"/>
  <c r="AX699" s="1"/>
  <c r="BD699"/>
  <c r="BF699"/>
  <c r="BH699"/>
  <c r="AB699" s="1"/>
  <c r="BI699"/>
  <c r="AC699" s="1"/>
  <c r="BJ699"/>
  <c r="J700"/>
  <c r="L700"/>
  <c r="AL700" s="1"/>
  <c r="Z700"/>
  <c r="AB700"/>
  <c r="AD700"/>
  <c r="AE700"/>
  <c r="AF700"/>
  <c r="AG700"/>
  <c r="AH700"/>
  <c r="AJ700"/>
  <c r="AK700"/>
  <c r="AO700"/>
  <c r="AW700" s="1"/>
  <c r="AP700"/>
  <c r="AX700" s="1"/>
  <c r="BD700"/>
  <c r="BF700"/>
  <c r="BH700"/>
  <c r="BI700"/>
  <c r="AC700" s="1"/>
  <c r="BJ700"/>
  <c r="L701"/>
  <c r="AL701" s="1"/>
  <c r="Z701"/>
  <c r="AD701"/>
  <c r="AE701"/>
  <c r="AF701"/>
  <c r="AG701"/>
  <c r="AH701"/>
  <c r="AJ701"/>
  <c r="AK701"/>
  <c r="AO701"/>
  <c r="AW701" s="1"/>
  <c r="AP701"/>
  <c r="K701" s="1"/>
  <c r="AX701"/>
  <c r="BD701"/>
  <c r="BF701"/>
  <c r="BH701"/>
  <c r="AB701" s="1"/>
  <c r="BI701"/>
  <c r="AC701" s="1"/>
  <c r="BJ701"/>
  <c r="K702"/>
  <c r="L702"/>
  <c r="AL702" s="1"/>
  <c r="Z702"/>
  <c r="AC702"/>
  <c r="AD702"/>
  <c r="AE702"/>
  <c r="AF702"/>
  <c r="AG702"/>
  <c r="AH702"/>
  <c r="AJ702"/>
  <c r="AK702"/>
  <c r="AO702"/>
  <c r="J702" s="1"/>
  <c r="AP702"/>
  <c r="AW702"/>
  <c r="AV702" s="1"/>
  <c r="AX702"/>
  <c r="BD702"/>
  <c r="BF702"/>
  <c r="BH702"/>
  <c r="AB702" s="1"/>
  <c r="BI702"/>
  <c r="BJ702"/>
  <c r="K703"/>
  <c r="L703"/>
  <c r="Z703"/>
  <c r="AC703"/>
  <c r="AD703"/>
  <c r="AE703"/>
  <c r="AF703"/>
  <c r="AG703"/>
  <c r="AH703"/>
  <c r="AJ703"/>
  <c r="AK703"/>
  <c r="AL703"/>
  <c r="AO703"/>
  <c r="AW703" s="1"/>
  <c r="AP703"/>
  <c r="AX703"/>
  <c r="BD703"/>
  <c r="BF703"/>
  <c r="BH703"/>
  <c r="AB703" s="1"/>
  <c r="BI703"/>
  <c r="BJ703"/>
  <c r="K704"/>
  <c r="L704"/>
  <c r="AL704" s="1"/>
  <c r="Z704"/>
  <c r="AC704"/>
  <c r="AD704"/>
  <c r="AE704"/>
  <c r="AF704"/>
  <c r="AG704"/>
  <c r="AH704"/>
  <c r="AJ704"/>
  <c r="AK704"/>
  <c r="AO704"/>
  <c r="J704" s="1"/>
  <c r="AP704"/>
  <c r="AW704"/>
  <c r="AV704" s="1"/>
  <c r="AX704"/>
  <c r="BD704"/>
  <c r="BF704"/>
  <c r="BH704"/>
  <c r="AB704" s="1"/>
  <c r="BI704"/>
  <c r="BJ704"/>
  <c r="J706"/>
  <c r="L706"/>
  <c r="AL706" s="1"/>
  <c r="Z706"/>
  <c r="AB706"/>
  <c r="AC706"/>
  <c r="AF706"/>
  <c r="AG706"/>
  <c r="AH706"/>
  <c r="AJ706"/>
  <c r="AK706"/>
  <c r="AO706"/>
  <c r="AW706" s="1"/>
  <c r="AP706"/>
  <c r="AX706" s="1"/>
  <c r="BD706"/>
  <c r="BF706"/>
  <c r="BH706"/>
  <c r="AD706" s="1"/>
  <c r="BI706"/>
  <c r="AE706" s="1"/>
  <c r="BJ706"/>
  <c r="J707"/>
  <c r="K707"/>
  <c r="L707"/>
  <c r="L705" s="1"/>
  <c r="L114" i="4" s="1"/>
  <c r="N114" s="1"/>
  <c r="Z707" i="5"/>
  <c r="AB707"/>
  <c r="AC707"/>
  <c r="AF707"/>
  <c r="AG707"/>
  <c r="AH707"/>
  <c r="AJ707"/>
  <c r="AK707"/>
  <c r="AO707"/>
  <c r="AP707"/>
  <c r="AV707"/>
  <c r="AW707"/>
  <c r="AX707"/>
  <c r="BC707" s="1"/>
  <c r="BD707"/>
  <c r="BF707"/>
  <c r="BH707"/>
  <c r="AD707" s="1"/>
  <c r="BI707"/>
  <c r="AE707" s="1"/>
  <c r="BJ707"/>
  <c r="L708"/>
  <c r="AB708"/>
  <c r="AC708"/>
  <c r="AD708"/>
  <c r="AE708"/>
  <c r="AF708"/>
  <c r="AG708"/>
  <c r="AH708"/>
  <c r="AJ708"/>
  <c r="AK708"/>
  <c r="AL708"/>
  <c r="AO708"/>
  <c r="J708" s="1"/>
  <c r="AP708"/>
  <c r="AX708" s="1"/>
  <c r="BD708"/>
  <c r="BF708"/>
  <c r="BH708"/>
  <c r="BJ708"/>
  <c r="Z708" s="1"/>
  <c r="J710"/>
  <c r="L710"/>
  <c r="Z710"/>
  <c r="AC710"/>
  <c r="AD710"/>
  <c r="AE710"/>
  <c r="AF710"/>
  <c r="AG710"/>
  <c r="AH710"/>
  <c r="AJ710"/>
  <c r="AK710"/>
  <c r="AL710"/>
  <c r="AO710"/>
  <c r="AW710" s="1"/>
  <c r="AP710"/>
  <c r="K710" s="1"/>
  <c r="BD710"/>
  <c r="BF710"/>
  <c r="BH710"/>
  <c r="AB710" s="1"/>
  <c r="BI710"/>
  <c r="BJ710"/>
  <c r="L711"/>
  <c r="Z711"/>
  <c r="AD711"/>
  <c r="AE711"/>
  <c r="AF711"/>
  <c r="AG711"/>
  <c r="AH711"/>
  <c r="AJ711"/>
  <c r="AK711"/>
  <c r="AT709" s="1"/>
  <c r="AL711"/>
  <c r="AO711"/>
  <c r="AW711" s="1"/>
  <c r="AP711"/>
  <c r="K711" s="1"/>
  <c r="BD711"/>
  <c r="BF711"/>
  <c r="BH711"/>
  <c r="AB711" s="1"/>
  <c r="BJ711"/>
  <c r="J712"/>
  <c r="K712"/>
  <c r="L712"/>
  <c r="AL712" s="1"/>
  <c r="Z712"/>
  <c r="AB712"/>
  <c r="AD712"/>
  <c r="AE712"/>
  <c r="AF712"/>
  <c r="AG712"/>
  <c r="AH712"/>
  <c r="AJ712"/>
  <c r="AK712"/>
  <c r="AO712"/>
  <c r="AP712"/>
  <c r="AV712"/>
  <c r="AW712"/>
  <c r="BC712" s="1"/>
  <c r="AX712"/>
  <c r="BD712"/>
  <c r="BF712"/>
  <c r="BH712"/>
  <c r="BI712"/>
  <c r="AC712" s="1"/>
  <c r="BJ712"/>
  <c r="K713"/>
  <c r="L713"/>
  <c r="AL713" s="1"/>
  <c r="Z713"/>
  <c r="AB713"/>
  <c r="AC713"/>
  <c r="AD713"/>
  <c r="AE713"/>
  <c r="AF713"/>
  <c r="AG713"/>
  <c r="AH713"/>
  <c r="AJ713"/>
  <c r="AK713"/>
  <c r="AO713"/>
  <c r="AW713" s="1"/>
  <c r="AP713"/>
  <c r="AX713"/>
  <c r="BD713"/>
  <c r="BF713"/>
  <c r="BH713"/>
  <c r="BI713"/>
  <c r="BJ713"/>
  <c r="L714"/>
  <c r="AL714" s="1"/>
  <c r="Z714"/>
  <c r="AD714"/>
  <c r="AE714"/>
  <c r="AF714"/>
  <c r="AG714"/>
  <c r="AH714"/>
  <c r="AJ714"/>
  <c r="AK714"/>
  <c r="AO714"/>
  <c r="AW714" s="1"/>
  <c r="AP714"/>
  <c r="AX714" s="1"/>
  <c r="BD714"/>
  <c r="BF714"/>
  <c r="BH714"/>
  <c r="AB714" s="1"/>
  <c r="BI714"/>
  <c r="AC714" s="1"/>
  <c r="BJ714"/>
  <c r="J716"/>
  <c r="K716"/>
  <c r="L716"/>
  <c r="AL716" s="1"/>
  <c r="Z716"/>
  <c r="AB716"/>
  <c r="AD716"/>
  <c r="AE716"/>
  <c r="AF716"/>
  <c r="AG716"/>
  <c r="AH716"/>
  <c r="AJ716"/>
  <c r="AK716"/>
  <c r="AO716"/>
  <c r="AP716"/>
  <c r="AV716"/>
  <c r="AW716"/>
  <c r="BC716" s="1"/>
  <c r="AX716"/>
  <c r="BD716"/>
  <c r="BF716"/>
  <c r="BH716"/>
  <c r="BI716"/>
  <c r="AC716" s="1"/>
  <c r="BJ716"/>
  <c r="J717"/>
  <c r="K717"/>
  <c r="L717"/>
  <c r="AL717" s="1"/>
  <c r="Z717"/>
  <c r="AB717"/>
  <c r="AC717"/>
  <c r="AD717"/>
  <c r="AE717"/>
  <c r="AF717"/>
  <c r="AG717"/>
  <c r="AH717"/>
  <c r="AJ717"/>
  <c r="AK717"/>
  <c r="AO717"/>
  <c r="AP717"/>
  <c r="AW717"/>
  <c r="AV717" s="1"/>
  <c r="AX717"/>
  <c r="BC717"/>
  <c r="BD717"/>
  <c r="BF717"/>
  <c r="BH717"/>
  <c r="BI717"/>
  <c r="BJ717"/>
  <c r="K718"/>
  <c r="L718"/>
  <c r="AL718" s="1"/>
  <c r="Z718"/>
  <c r="AB718"/>
  <c r="AC718"/>
  <c r="AD718"/>
  <c r="AE718"/>
  <c r="AF718"/>
  <c r="AG718"/>
  <c r="AH718"/>
  <c r="AJ718"/>
  <c r="AK718"/>
  <c r="AO718"/>
  <c r="J718" s="1"/>
  <c r="AP718"/>
  <c r="AW718"/>
  <c r="AV718" s="1"/>
  <c r="AX718"/>
  <c r="BC718"/>
  <c r="BD718"/>
  <c r="BF718"/>
  <c r="BH718"/>
  <c r="BI718"/>
  <c r="BJ718"/>
  <c r="L719"/>
  <c r="Z719"/>
  <c r="AD719"/>
  <c r="AE719"/>
  <c r="AF719"/>
  <c r="AG719"/>
  <c r="AH719"/>
  <c r="AJ719"/>
  <c r="AK719"/>
  <c r="AL719"/>
  <c r="AO719"/>
  <c r="AW719" s="1"/>
  <c r="AP719"/>
  <c r="AX719" s="1"/>
  <c r="BD719"/>
  <c r="BF719"/>
  <c r="BH719"/>
  <c r="AB719" s="1"/>
  <c r="BJ719"/>
  <c r="L720"/>
  <c r="Z720"/>
  <c r="AD720"/>
  <c r="AE720"/>
  <c r="AF720"/>
  <c r="AG720"/>
  <c r="AH720"/>
  <c r="AJ720"/>
  <c r="AK720"/>
  <c r="AL720"/>
  <c r="AO720"/>
  <c r="BH720" s="1"/>
  <c r="AB720" s="1"/>
  <c r="AP720"/>
  <c r="AX720" s="1"/>
  <c r="BD720"/>
  <c r="BF720"/>
  <c r="BJ720"/>
  <c r="L721"/>
  <c r="Z721"/>
  <c r="AD721"/>
  <c r="AE721"/>
  <c r="AF721"/>
  <c r="AG721"/>
  <c r="AH721"/>
  <c r="AJ721"/>
  <c r="AK721"/>
  <c r="AL721"/>
  <c r="AO721"/>
  <c r="AW721" s="1"/>
  <c r="AP721"/>
  <c r="AX721" s="1"/>
  <c r="BD721"/>
  <c r="BF721"/>
  <c r="BH721"/>
  <c r="AB721" s="1"/>
  <c r="BI721"/>
  <c r="AC721" s="1"/>
  <c r="BJ721"/>
  <c r="L722"/>
  <c r="Z722"/>
  <c r="AC722"/>
  <c r="AD722"/>
  <c r="AE722"/>
  <c r="AF722"/>
  <c r="AG722"/>
  <c r="AH722"/>
  <c r="AJ722"/>
  <c r="AK722"/>
  <c r="AL722"/>
  <c r="AO722"/>
  <c r="AW722" s="1"/>
  <c r="AP722"/>
  <c r="AX722" s="1"/>
  <c r="BD722"/>
  <c r="BF722"/>
  <c r="BH722"/>
  <c r="AB722" s="1"/>
  <c r="BI722"/>
  <c r="BJ722"/>
  <c r="K723"/>
  <c r="L723"/>
  <c r="AL723" s="1"/>
  <c r="Z723"/>
  <c r="AB723"/>
  <c r="AC723"/>
  <c r="AD723"/>
  <c r="AE723"/>
  <c r="AF723"/>
  <c r="AG723"/>
  <c r="AH723"/>
  <c r="AJ723"/>
  <c r="AK723"/>
  <c r="AO723"/>
  <c r="J723" s="1"/>
  <c r="AP723"/>
  <c r="AW723"/>
  <c r="AV723" s="1"/>
  <c r="AX723"/>
  <c r="BC723"/>
  <c r="BD723"/>
  <c r="BF723"/>
  <c r="BH723"/>
  <c r="BI723"/>
  <c r="BJ723"/>
  <c r="L724"/>
  <c r="Z724"/>
  <c r="AD724"/>
  <c r="AE724"/>
  <c r="AF724"/>
  <c r="AG724"/>
  <c r="AH724"/>
  <c r="AJ724"/>
  <c r="AK724"/>
  <c r="AL724"/>
  <c r="AO724"/>
  <c r="J724" s="1"/>
  <c r="AP724"/>
  <c r="BI724" s="1"/>
  <c r="AC724" s="1"/>
  <c r="BD724"/>
  <c r="BF724"/>
  <c r="BH724"/>
  <c r="AB724" s="1"/>
  <c r="BJ724"/>
  <c r="L725"/>
  <c r="Z725"/>
  <c r="AD725"/>
  <c r="AE725"/>
  <c r="AF725"/>
  <c r="AG725"/>
  <c r="AH725"/>
  <c r="AJ725"/>
  <c r="AK725"/>
  <c r="AL725"/>
  <c r="AO725"/>
  <c r="BH725" s="1"/>
  <c r="AB725" s="1"/>
  <c r="AP725"/>
  <c r="AX725" s="1"/>
  <c r="BD725"/>
  <c r="BF725"/>
  <c r="BJ725"/>
  <c r="J727"/>
  <c r="K727"/>
  <c r="L727"/>
  <c r="AL727" s="1"/>
  <c r="Z727"/>
  <c r="AD727"/>
  <c r="AE727"/>
  <c r="AF727"/>
  <c r="AG727"/>
  <c r="AH727"/>
  <c r="AJ727"/>
  <c r="AS726" s="1"/>
  <c r="AK727"/>
  <c r="AO727"/>
  <c r="AP727"/>
  <c r="AX727" s="1"/>
  <c r="AW727"/>
  <c r="BD727"/>
  <c r="BF727"/>
  <c r="BH727"/>
  <c r="AB727" s="1"/>
  <c r="BI727"/>
  <c r="AC727" s="1"/>
  <c r="BJ727"/>
  <c r="J729"/>
  <c r="K729"/>
  <c r="L729"/>
  <c r="Z729"/>
  <c r="AB729"/>
  <c r="AC729"/>
  <c r="AD729"/>
  <c r="AE729"/>
  <c r="AF729"/>
  <c r="AG729"/>
  <c r="AH729"/>
  <c r="AJ729"/>
  <c r="AK729"/>
  <c r="AT726" s="1"/>
  <c r="AL729"/>
  <c r="AO729"/>
  <c r="AP729"/>
  <c r="AV729"/>
  <c r="AW729"/>
  <c r="BC729" s="1"/>
  <c r="AX729"/>
  <c r="BD729"/>
  <c r="BF729"/>
  <c r="BH729"/>
  <c r="BI729"/>
  <c r="BJ729"/>
  <c r="J732"/>
  <c r="K732"/>
  <c r="L732"/>
  <c r="Z732"/>
  <c r="AB732"/>
  <c r="AC732"/>
  <c r="AD732"/>
  <c r="AE732"/>
  <c r="AF732"/>
  <c r="AG732"/>
  <c r="AH732"/>
  <c r="AJ732"/>
  <c r="AK732"/>
  <c r="AL732"/>
  <c r="AO732"/>
  <c r="AW732" s="1"/>
  <c r="AP732"/>
  <c r="AX732"/>
  <c r="BD732"/>
  <c r="BF732"/>
  <c r="BH732"/>
  <c r="BI732"/>
  <c r="BJ732"/>
  <c r="K733"/>
  <c r="L733"/>
  <c r="Z733"/>
  <c r="AB733"/>
  <c r="AC733"/>
  <c r="AD733"/>
  <c r="AE733"/>
  <c r="AG733"/>
  <c r="AH733"/>
  <c r="AJ733"/>
  <c r="AK733"/>
  <c r="AL733"/>
  <c r="AO733"/>
  <c r="J733" s="1"/>
  <c r="AP733"/>
  <c r="AW733"/>
  <c r="BC733" s="1"/>
  <c r="AX733"/>
  <c r="BD733"/>
  <c r="BF733"/>
  <c r="BH733"/>
  <c r="AF733" s="1"/>
  <c r="BI733"/>
  <c r="BJ733"/>
  <c r="J734"/>
  <c r="K734"/>
  <c r="L734"/>
  <c r="AL734" s="1"/>
  <c r="Z734"/>
  <c r="AB734"/>
  <c r="AC734"/>
  <c r="AD734"/>
  <c r="AE734"/>
  <c r="AF734"/>
  <c r="AG734"/>
  <c r="AH734"/>
  <c r="AJ734"/>
  <c r="AK734"/>
  <c r="AO734"/>
  <c r="AP734"/>
  <c r="AV734"/>
  <c r="AW734"/>
  <c r="AX734"/>
  <c r="BC734"/>
  <c r="BD734"/>
  <c r="BF734"/>
  <c r="BH734"/>
  <c r="BI734"/>
  <c r="BJ734"/>
  <c r="K735"/>
  <c r="L735"/>
  <c r="AL735" s="1"/>
  <c r="Z735"/>
  <c r="AB735"/>
  <c r="AC735"/>
  <c r="AD735"/>
  <c r="AE735"/>
  <c r="AG735"/>
  <c r="AH735"/>
  <c r="AJ735"/>
  <c r="AK735"/>
  <c r="AO735"/>
  <c r="AW735" s="1"/>
  <c r="AP735"/>
  <c r="AX735"/>
  <c r="BD735"/>
  <c r="BF735"/>
  <c r="BH735"/>
  <c r="AF735" s="1"/>
  <c r="BI735"/>
  <c r="BJ735"/>
  <c r="L736"/>
  <c r="Z736"/>
  <c r="AB736"/>
  <c r="AC736"/>
  <c r="AD736"/>
  <c r="AE736"/>
  <c r="AH736"/>
  <c r="AJ736"/>
  <c r="AK736"/>
  <c r="AL736"/>
  <c r="AO736"/>
  <c r="AW736" s="1"/>
  <c r="AP736"/>
  <c r="AX736" s="1"/>
  <c r="BD736"/>
  <c r="BF736"/>
  <c r="BH736"/>
  <c r="AF736" s="1"/>
  <c r="BI736"/>
  <c r="AG736" s="1"/>
  <c r="BJ736"/>
  <c r="L737"/>
  <c r="AL737" s="1"/>
  <c r="Z737"/>
  <c r="AB737"/>
  <c r="AC737"/>
  <c r="AD737"/>
  <c r="AE737"/>
  <c r="AH737"/>
  <c r="AJ737"/>
  <c r="AK737"/>
  <c r="AO737"/>
  <c r="AW737" s="1"/>
  <c r="AP737"/>
  <c r="K737" s="1"/>
  <c r="AX737"/>
  <c r="BD737"/>
  <c r="BF737"/>
  <c r="BH737"/>
  <c r="AF737" s="1"/>
  <c r="BI737"/>
  <c r="AG737" s="1"/>
  <c r="BJ737"/>
  <c r="K738"/>
  <c r="L738"/>
  <c r="Z738"/>
  <c r="AB738"/>
  <c r="AC738"/>
  <c r="AD738"/>
  <c r="AE738"/>
  <c r="AF738"/>
  <c r="AG738"/>
  <c r="AH738"/>
  <c r="AJ738"/>
  <c r="AK738"/>
  <c r="AL738"/>
  <c r="AO738"/>
  <c r="J738" s="1"/>
  <c r="AP738"/>
  <c r="AW738"/>
  <c r="BC738" s="1"/>
  <c r="AX738"/>
  <c r="BD738"/>
  <c r="BF738"/>
  <c r="BH738"/>
  <c r="BI738"/>
  <c r="BJ738"/>
  <c r="L739"/>
  <c r="Z739"/>
  <c r="AD739"/>
  <c r="AE739"/>
  <c r="AF739"/>
  <c r="AG739"/>
  <c r="AH739"/>
  <c r="AJ739"/>
  <c r="AK739"/>
  <c r="AL739"/>
  <c r="AO739"/>
  <c r="AW739" s="1"/>
  <c r="AP739"/>
  <c r="AX739" s="1"/>
  <c r="BD739"/>
  <c r="BF739"/>
  <c r="BH739"/>
  <c r="AB739" s="1"/>
  <c r="BI739"/>
  <c r="AC739" s="1"/>
  <c r="BJ739"/>
  <c r="L740"/>
  <c r="AL740" s="1"/>
  <c r="Z740"/>
  <c r="AC740"/>
  <c r="AD740"/>
  <c r="AE740"/>
  <c r="AF740"/>
  <c r="AG740"/>
  <c r="AH740"/>
  <c r="AJ740"/>
  <c r="AK740"/>
  <c r="AO740"/>
  <c r="AW740" s="1"/>
  <c r="AP740"/>
  <c r="K740" s="1"/>
  <c r="AX740"/>
  <c r="BD740"/>
  <c r="BF740"/>
  <c r="BH740"/>
  <c r="AB740" s="1"/>
  <c r="BI740"/>
  <c r="BJ740"/>
  <c r="J741"/>
  <c r="K741"/>
  <c r="L741"/>
  <c r="Z741"/>
  <c r="AB741"/>
  <c r="AC741"/>
  <c r="AD741"/>
  <c r="AE741"/>
  <c r="AF741"/>
  <c r="AG741"/>
  <c r="AH741"/>
  <c r="AJ741"/>
  <c r="AK741"/>
  <c r="AL741"/>
  <c r="AO741"/>
  <c r="AP741"/>
  <c r="AV741"/>
  <c r="AW741"/>
  <c r="AX741"/>
  <c r="BC741"/>
  <c r="BD741"/>
  <c r="BF741"/>
  <c r="BH741"/>
  <c r="BI741"/>
  <c r="BJ741"/>
  <c r="J742"/>
  <c r="L742"/>
  <c r="AL742" s="1"/>
  <c r="Z742"/>
  <c r="AB742"/>
  <c r="AD742"/>
  <c r="AE742"/>
  <c r="AF742"/>
  <c r="AG742"/>
  <c r="AH742"/>
  <c r="AJ742"/>
  <c r="AK742"/>
  <c r="AO742"/>
  <c r="AP742"/>
  <c r="AX742" s="1"/>
  <c r="BC742" s="1"/>
  <c r="AW742"/>
  <c r="AV742" s="1"/>
  <c r="BD742"/>
  <c r="BF742"/>
  <c r="BH742"/>
  <c r="BI742"/>
  <c r="AC742" s="1"/>
  <c r="BJ742"/>
  <c r="J743"/>
  <c r="L743"/>
  <c r="Z743"/>
  <c r="AB743"/>
  <c r="AD743"/>
  <c r="AE743"/>
  <c r="AF743"/>
  <c r="AG743"/>
  <c r="AH743"/>
  <c r="AJ743"/>
  <c r="AK743"/>
  <c r="AL743"/>
  <c r="AO743"/>
  <c r="AP743"/>
  <c r="AX743" s="1"/>
  <c r="AV743" s="1"/>
  <c r="AW743"/>
  <c r="BD743"/>
  <c r="BF743"/>
  <c r="BH743"/>
  <c r="BI743"/>
  <c r="AC743" s="1"/>
  <c r="BJ743"/>
  <c r="J744"/>
  <c r="K744"/>
  <c r="L744"/>
  <c r="Z744"/>
  <c r="AB744"/>
  <c r="AC744"/>
  <c r="AD744"/>
  <c r="AE744"/>
  <c r="AF744"/>
  <c r="AG744"/>
  <c r="AH744"/>
  <c r="AJ744"/>
  <c r="AK744"/>
  <c r="AL744"/>
  <c r="AO744"/>
  <c r="AP744"/>
  <c r="AV744"/>
  <c r="AW744"/>
  <c r="AX744"/>
  <c r="BC744"/>
  <c r="BD744"/>
  <c r="BF744"/>
  <c r="BH744"/>
  <c r="BI744"/>
  <c r="BJ744"/>
  <c r="J745"/>
  <c r="L745"/>
  <c r="AL745" s="1"/>
  <c r="Z745"/>
  <c r="AB745"/>
  <c r="AD745"/>
  <c r="AE745"/>
  <c r="AF745"/>
  <c r="AG745"/>
  <c r="AH745"/>
  <c r="AJ745"/>
  <c r="AK745"/>
  <c r="AO745"/>
  <c r="AP745"/>
  <c r="K745" s="1"/>
  <c r="AW745"/>
  <c r="AX745"/>
  <c r="BC745" s="1"/>
  <c r="BD745"/>
  <c r="BF745"/>
  <c r="BH745"/>
  <c r="BI745"/>
  <c r="AC745" s="1"/>
  <c r="BJ745"/>
  <c r="L746"/>
  <c r="Z746"/>
  <c r="AD746"/>
  <c r="AE746"/>
  <c r="AF746"/>
  <c r="AG746"/>
  <c r="AH746"/>
  <c r="AJ746"/>
  <c r="AK746"/>
  <c r="AL746"/>
  <c r="AO746"/>
  <c r="J746" s="1"/>
  <c r="AP746"/>
  <c r="AX746" s="1"/>
  <c r="BD746"/>
  <c r="BF746"/>
  <c r="BI746"/>
  <c r="AC746" s="1"/>
  <c r="BJ746"/>
  <c r="L747"/>
  <c r="Z747"/>
  <c r="AD747"/>
  <c r="AE747"/>
  <c r="AF747"/>
  <c r="AG747"/>
  <c r="AH747"/>
  <c r="AJ747"/>
  <c r="AK747"/>
  <c r="AL747"/>
  <c r="AO747"/>
  <c r="AW747" s="1"/>
  <c r="AP747"/>
  <c r="AX747" s="1"/>
  <c r="BD747"/>
  <c r="BF747"/>
  <c r="BH747"/>
  <c r="AB747" s="1"/>
  <c r="BI747"/>
  <c r="AC747" s="1"/>
  <c r="BJ747"/>
  <c r="L748"/>
  <c r="AL748" s="1"/>
  <c r="Z748"/>
  <c r="AC748"/>
  <c r="AD748"/>
  <c r="AE748"/>
  <c r="AF748"/>
  <c r="AG748"/>
  <c r="AH748"/>
  <c r="AJ748"/>
  <c r="AK748"/>
  <c r="AO748"/>
  <c r="BH748" s="1"/>
  <c r="AB748" s="1"/>
  <c r="AP748"/>
  <c r="K748" s="1"/>
  <c r="AX748"/>
  <c r="BD748"/>
  <c r="BF748"/>
  <c r="BI748"/>
  <c r="BJ748"/>
  <c r="K749"/>
  <c r="L749"/>
  <c r="Z749"/>
  <c r="AB749"/>
  <c r="AC749"/>
  <c r="AD749"/>
  <c r="AE749"/>
  <c r="AF749"/>
  <c r="AG749"/>
  <c r="AH749"/>
  <c r="AJ749"/>
  <c r="AK749"/>
  <c r="AL749"/>
  <c r="AO749"/>
  <c r="J749" s="1"/>
  <c r="AP749"/>
  <c r="AW749"/>
  <c r="BC749" s="1"/>
  <c r="AX749"/>
  <c r="BD749"/>
  <c r="BF749"/>
  <c r="BH749"/>
  <c r="BI749"/>
  <c r="BJ749"/>
  <c r="L750"/>
  <c r="Z750"/>
  <c r="AD750"/>
  <c r="AE750"/>
  <c r="AF750"/>
  <c r="AG750"/>
  <c r="AH750"/>
  <c r="AJ750"/>
  <c r="AK750"/>
  <c r="AL750"/>
  <c r="AO750"/>
  <c r="AW750" s="1"/>
  <c r="AP750"/>
  <c r="BI750" s="1"/>
  <c r="AC750" s="1"/>
  <c r="BD750"/>
  <c r="BF750"/>
  <c r="BH750"/>
  <c r="AB750" s="1"/>
  <c r="BJ750"/>
  <c r="L752"/>
  <c r="Z752"/>
  <c r="AD752"/>
  <c r="AE752"/>
  <c r="AF752"/>
  <c r="AG752"/>
  <c r="AH752"/>
  <c r="AJ752"/>
  <c r="AK752"/>
  <c r="AL752"/>
  <c r="AO752"/>
  <c r="AW752" s="1"/>
  <c r="AP752"/>
  <c r="BI752" s="1"/>
  <c r="AC752" s="1"/>
  <c r="BD752"/>
  <c r="BF752"/>
  <c r="BH752"/>
  <c r="AB752" s="1"/>
  <c r="BJ752"/>
  <c r="L753"/>
  <c r="Z753"/>
  <c r="AD753"/>
  <c r="AE753"/>
  <c r="AF753"/>
  <c r="AG753"/>
  <c r="AH753"/>
  <c r="AJ753"/>
  <c r="AK753"/>
  <c r="AL753"/>
  <c r="AO753"/>
  <c r="AW753" s="1"/>
  <c r="AP753"/>
  <c r="AX753" s="1"/>
  <c r="BD753"/>
  <c r="BF753"/>
  <c r="BH753"/>
  <c r="AB753" s="1"/>
  <c r="BI753"/>
  <c r="AC753" s="1"/>
  <c r="BJ753"/>
  <c r="L754"/>
  <c r="L120" i="4" s="1"/>
  <c r="N120" s="1"/>
  <c r="J755" i="5"/>
  <c r="L755"/>
  <c r="Z755"/>
  <c r="AB755"/>
  <c r="AC755"/>
  <c r="AD755"/>
  <c r="AE755"/>
  <c r="AF755"/>
  <c r="AH755"/>
  <c r="AJ755"/>
  <c r="AK755"/>
  <c r="AT754" s="1"/>
  <c r="AL755"/>
  <c r="AO755"/>
  <c r="AP755"/>
  <c r="AX755" s="1"/>
  <c r="AV755" s="1"/>
  <c r="AW755"/>
  <c r="BD755"/>
  <c r="BF755"/>
  <c r="BH755"/>
  <c r="BI755"/>
  <c r="AG755" s="1"/>
  <c r="BJ755"/>
  <c r="L756"/>
  <c r="Z756"/>
  <c r="AB756"/>
  <c r="AC756"/>
  <c r="AD756"/>
  <c r="AE756"/>
  <c r="AH756"/>
  <c r="AJ756"/>
  <c r="AS754" s="1"/>
  <c r="AK756"/>
  <c r="AL756"/>
  <c r="AU754" s="1"/>
  <c r="AO756"/>
  <c r="AW756" s="1"/>
  <c r="AP756"/>
  <c r="AX756" s="1"/>
  <c r="BD756"/>
  <c r="BF756"/>
  <c r="BH756"/>
  <c r="AF756" s="1"/>
  <c r="BI756"/>
  <c r="AG756" s="1"/>
  <c r="BJ756"/>
  <c r="L759"/>
  <c r="Z759"/>
  <c r="AC759"/>
  <c r="AD759"/>
  <c r="AE759"/>
  <c r="AF759"/>
  <c r="AG759"/>
  <c r="AH759"/>
  <c r="AJ759"/>
  <c r="AK759"/>
  <c r="AL759"/>
  <c r="AO759"/>
  <c r="AW759" s="1"/>
  <c r="AP759"/>
  <c r="AX759" s="1"/>
  <c r="BD759"/>
  <c r="BF759"/>
  <c r="BH759"/>
  <c r="AB759" s="1"/>
  <c r="BI759"/>
  <c r="BJ759"/>
  <c r="L760"/>
  <c r="Z760"/>
  <c r="AD760"/>
  <c r="AE760"/>
  <c r="AF760"/>
  <c r="AG760"/>
  <c r="AH760"/>
  <c r="AJ760"/>
  <c r="AK760"/>
  <c r="AO760"/>
  <c r="AW760" s="1"/>
  <c r="AP760"/>
  <c r="K760" s="1"/>
  <c r="AX760"/>
  <c r="BD760"/>
  <c r="BF760"/>
  <c r="BI760"/>
  <c r="AC760" s="1"/>
  <c r="BJ760"/>
  <c r="L761"/>
  <c r="Z761"/>
  <c r="AC761"/>
  <c r="AD761"/>
  <c r="AE761"/>
  <c r="AF761"/>
  <c r="AG761"/>
  <c r="AH761"/>
  <c r="AJ761"/>
  <c r="AK761"/>
  <c r="AL761"/>
  <c r="AO761"/>
  <c r="AW761" s="1"/>
  <c r="AP761"/>
  <c r="AX761" s="1"/>
  <c r="BD761"/>
  <c r="BF761"/>
  <c r="BI761"/>
  <c r="BJ761"/>
  <c r="K762"/>
  <c r="L762"/>
  <c r="Z762"/>
  <c r="AC762"/>
  <c r="AD762"/>
  <c r="AE762"/>
  <c r="AF762"/>
  <c r="AG762"/>
  <c r="AH762"/>
  <c r="AJ762"/>
  <c r="AK762"/>
  <c r="AL762"/>
  <c r="AO762"/>
  <c r="BH762" s="1"/>
  <c r="AB762" s="1"/>
  <c r="AP762"/>
  <c r="AX762"/>
  <c r="BD762"/>
  <c r="BF762"/>
  <c r="BI762"/>
  <c r="BJ762"/>
  <c r="K763"/>
  <c r="L763"/>
  <c r="AL763" s="1"/>
  <c r="Z763"/>
  <c r="AC763"/>
  <c r="AD763"/>
  <c r="AE763"/>
  <c r="AF763"/>
  <c r="AG763"/>
  <c r="AH763"/>
  <c r="AJ763"/>
  <c r="AK763"/>
  <c r="AO763"/>
  <c r="J763" s="1"/>
  <c r="AP763"/>
  <c r="AW763"/>
  <c r="AV763" s="1"/>
  <c r="AX763"/>
  <c r="BD763"/>
  <c r="BF763"/>
  <c r="BH763"/>
  <c r="AB763" s="1"/>
  <c r="BI763"/>
  <c r="BJ763"/>
  <c r="L764"/>
  <c r="Z764"/>
  <c r="AD764"/>
  <c r="AE764"/>
  <c r="AF764"/>
  <c r="AG764"/>
  <c r="AH764"/>
  <c r="AJ764"/>
  <c r="AK764"/>
  <c r="AL764"/>
  <c r="AO764"/>
  <c r="BH764" s="1"/>
  <c r="AB764" s="1"/>
  <c r="AP764"/>
  <c r="AX764" s="1"/>
  <c r="BD764"/>
  <c r="BF764"/>
  <c r="BJ764"/>
  <c r="L765"/>
  <c r="Z765"/>
  <c r="AC765"/>
  <c r="AD765"/>
  <c r="AE765"/>
  <c r="AF765"/>
  <c r="AG765"/>
  <c r="AH765"/>
  <c r="AJ765"/>
  <c r="AK765"/>
  <c r="AL765"/>
  <c r="AO765"/>
  <c r="J765" s="1"/>
  <c r="AP765"/>
  <c r="AX765" s="1"/>
  <c r="BD765"/>
  <c r="BF765"/>
  <c r="BI765"/>
  <c r="BJ765"/>
  <c r="L766"/>
  <c r="Z766"/>
  <c r="AD766"/>
  <c r="AE766"/>
  <c r="AF766"/>
  <c r="AG766"/>
  <c r="AH766"/>
  <c r="AJ766"/>
  <c r="AK766"/>
  <c r="AL766"/>
  <c r="AO766"/>
  <c r="BH766" s="1"/>
  <c r="AB766" s="1"/>
  <c r="AP766"/>
  <c r="BI766" s="1"/>
  <c r="AC766" s="1"/>
  <c r="BD766"/>
  <c r="BF766"/>
  <c r="BJ766"/>
  <c r="L767"/>
  <c r="AL767" s="1"/>
  <c r="Z767"/>
  <c r="AD767"/>
  <c r="AE767"/>
  <c r="AF767"/>
  <c r="AG767"/>
  <c r="AH767"/>
  <c r="AJ767"/>
  <c r="AK767"/>
  <c r="AO767"/>
  <c r="J767" s="1"/>
  <c r="AP767"/>
  <c r="BI767" s="1"/>
  <c r="AC767" s="1"/>
  <c r="BD767"/>
  <c r="BF767"/>
  <c r="BH767"/>
  <c r="AB767" s="1"/>
  <c r="BJ767"/>
  <c r="C2" i="6"/>
  <c r="F2"/>
  <c r="C4"/>
  <c r="F4"/>
  <c r="C6"/>
  <c r="F6"/>
  <c r="C8"/>
  <c r="F8"/>
  <c r="AW767" i="5" l="1"/>
  <c r="K767"/>
  <c r="AX767"/>
  <c r="J766"/>
  <c r="AW766"/>
  <c r="K766"/>
  <c r="AX766"/>
  <c r="AW765"/>
  <c r="K765"/>
  <c r="BH765"/>
  <c r="AB765" s="1"/>
  <c r="J764"/>
  <c r="BI764"/>
  <c r="AC764" s="1"/>
  <c r="AW764"/>
  <c r="K764"/>
  <c r="BC763"/>
  <c r="AS758"/>
  <c r="J762"/>
  <c r="AW762"/>
  <c r="BC761"/>
  <c r="AV761"/>
  <c r="J761"/>
  <c r="AT758"/>
  <c r="L758"/>
  <c r="L757" s="1"/>
  <c r="L26" i="2" s="1"/>
  <c r="P26" s="1"/>
  <c r="K76" i="3"/>
  <c r="BH761" i="5"/>
  <c r="AB761" s="1"/>
  <c r="K761"/>
  <c r="AV760"/>
  <c r="BC760"/>
  <c r="AL760"/>
  <c r="AU758" s="1"/>
  <c r="BH760"/>
  <c r="AB760" s="1"/>
  <c r="J760"/>
  <c r="BC759"/>
  <c r="AV759"/>
  <c r="J759"/>
  <c r="K759"/>
  <c r="BC756"/>
  <c r="AV756"/>
  <c r="J756"/>
  <c r="J754" s="1"/>
  <c r="J120" i="4" s="1"/>
  <c r="K756" i="5"/>
  <c r="BC755"/>
  <c r="K755"/>
  <c r="BC753"/>
  <c r="AV753"/>
  <c r="J753"/>
  <c r="K753"/>
  <c r="BC752"/>
  <c r="AV752"/>
  <c r="J752"/>
  <c r="K752"/>
  <c r="AX752"/>
  <c r="BC750"/>
  <c r="AV750"/>
  <c r="J750"/>
  <c r="K750"/>
  <c r="AX750"/>
  <c r="AV749"/>
  <c r="J748"/>
  <c r="AW748"/>
  <c r="BC747"/>
  <c r="AV747"/>
  <c r="J747"/>
  <c r="K747"/>
  <c r="AW746"/>
  <c r="K746"/>
  <c r="BH746"/>
  <c r="AB746" s="1"/>
  <c r="AV745"/>
  <c r="BC743"/>
  <c r="K743"/>
  <c r="K742"/>
  <c r="BC740"/>
  <c r="AV740"/>
  <c r="J740"/>
  <c r="BC739"/>
  <c r="AV739"/>
  <c r="J739"/>
  <c r="K739"/>
  <c r="AV738"/>
  <c r="BC737"/>
  <c r="AV737"/>
  <c r="J737"/>
  <c r="BC736"/>
  <c r="AV736"/>
  <c r="J736"/>
  <c r="K736"/>
  <c r="BC735"/>
  <c r="AV735"/>
  <c r="L731"/>
  <c r="L119" i="4" s="1"/>
  <c r="N119" s="1"/>
  <c r="K74" i="3"/>
  <c r="J735" i="5"/>
  <c r="AS731"/>
  <c r="AT731"/>
  <c r="AU731"/>
  <c r="AV733"/>
  <c r="BC732"/>
  <c r="AV732"/>
  <c r="J726"/>
  <c r="J117" i="4" s="1"/>
  <c r="K726" i="5"/>
  <c r="K117" i="4" s="1"/>
  <c r="AU726" i="5"/>
  <c r="AV727"/>
  <c r="L726"/>
  <c r="L117" i="4" s="1"/>
  <c r="N117" s="1"/>
  <c r="BC727" i="5"/>
  <c r="BI725"/>
  <c r="AC725" s="1"/>
  <c r="J725"/>
  <c r="AW725"/>
  <c r="K725"/>
  <c r="AW724"/>
  <c r="K724"/>
  <c r="AX724"/>
  <c r="BC722"/>
  <c r="AV722"/>
  <c r="J722"/>
  <c r="K722"/>
  <c r="AV721"/>
  <c r="BC721"/>
  <c r="J721"/>
  <c r="K721"/>
  <c r="J720"/>
  <c r="AW720"/>
  <c r="K720"/>
  <c r="BI720"/>
  <c r="AC720" s="1"/>
  <c r="BC719"/>
  <c r="AV719"/>
  <c r="J719"/>
  <c r="K719"/>
  <c r="BI719"/>
  <c r="AC719" s="1"/>
  <c r="AS715"/>
  <c r="AU715"/>
  <c r="AT715"/>
  <c r="L715"/>
  <c r="L116" i="4" s="1"/>
  <c r="N116" s="1"/>
  <c r="BC714" i="5"/>
  <c r="AV714"/>
  <c r="J714"/>
  <c r="K714"/>
  <c r="K709" s="1"/>
  <c r="K115" i="4" s="1"/>
  <c r="AV713" i="5"/>
  <c r="BC713"/>
  <c r="J713"/>
  <c r="L709"/>
  <c r="L115" i="4" s="1"/>
  <c r="N115" s="1"/>
  <c r="AS709" i="5"/>
  <c r="BC711"/>
  <c r="AV711"/>
  <c r="BI711"/>
  <c r="AC711" s="1"/>
  <c r="J711"/>
  <c r="AX711"/>
  <c r="AU709"/>
  <c r="BC710"/>
  <c r="AX710"/>
  <c r="K71" i="3" s="1"/>
  <c r="BI708" i="5"/>
  <c r="AW708"/>
  <c r="K708"/>
  <c r="AT705"/>
  <c r="K70" i="3"/>
  <c r="AL707" i="5"/>
  <c r="AU705" s="1"/>
  <c r="AS705"/>
  <c r="J705"/>
  <c r="J114" i="4" s="1"/>
  <c r="J70" i="3"/>
  <c r="AV706" i="5"/>
  <c r="BC706"/>
  <c r="K706"/>
  <c r="BC704"/>
  <c r="BC703"/>
  <c r="AV703"/>
  <c r="J703"/>
  <c r="BC702"/>
  <c r="BC701"/>
  <c r="AV701"/>
  <c r="J701"/>
  <c r="AT698"/>
  <c r="BC700"/>
  <c r="AV700"/>
  <c r="AS698"/>
  <c r="AU698"/>
  <c r="K700"/>
  <c r="AV699"/>
  <c r="BC699"/>
  <c r="L698"/>
  <c r="L113" i="4" s="1"/>
  <c r="N113" s="1"/>
  <c r="J699" i="5"/>
  <c r="K699"/>
  <c r="K698" s="1"/>
  <c r="K113" i="4" s="1"/>
  <c r="AV695" i="5"/>
  <c r="BC695"/>
  <c r="L694"/>
  <c r="L111" i="4" s="1"/>
  <c r="N111" s="1"/>
  <c r="J695" i="5"/>
  <c r="J694" s="1"/>
  <c r="J111" i="4" s="1"/>
  <c r="AV693" i="5"/>
  <c r="BC693"/>
  <c r="L690"/>
  <c r="L110" i="4" s="1"/>
  <c r="N110" s="1"/>
  <c r="J693" i="5"/>
  <c r="AS690"/>
  <c r="BC692"/>
  <c r="AV692"/>
  <c r="AU690"/>
  <c r="J692"/>
  <c r="AT690"/>
  <c r="K690"/>
  <c r="K110" i="4" s="1"/>
  <c r="K67" i="3"/>
  <c r="BC691" i="5"/>
  <c r="AV691"/>
  <c r="J67" i="3"/>
  <c r="J691" i="5"/>
  <c r="L685"/>
  <c r="L109" i="4" s="1"/>
  <c r="N109" s="1"/>
  <c r="AS685" i="5"/>
  <c r="K685"/>
  <c r="K109" i="4" s="1"/>
  <c r="BC688" i="5"/>
  <c r="AL688"/>
  <c r="AU685" s="1"/>
  <c r="AT685"/>
  <c r="K66" i="3"/>
  <c r="BC686" i="5"/>
  <c r="J66" i="3"/>
  <c r="AV686" i="5"/>
  <c r="L66" i="3" s="1"/>
  <c r="N66" s="1"/>
  <c r="J686" i="5"/>
  <c r="J685" s="1"/>
  <c r="J109" i="4" s="1"/>
  <c r="BC684" i="5"/>
  <c r="AV684"/>
  <c r="BH684"/>
  <c r="AB684" s="1"/>
  <c r="J684"/>
  <c r="AT680"/>
  <c r="AS680"/>
  <c r="BC683"/>
  <c r="L680"/>
  <c r="L108" i="4" s="1"/>
  <c r="N108" s="1"/>
  <c r="BC682" i="5"/>
  <c r="AV682"/>
  <c r="J682"/>
  <c r="AU680"/>
  <c r="K682"/>
  <c r="K680" s="1"/>
  <c r="K108" i="4" s="1"/>
  <c r="J65" i="3"/>
  <c r="BC681" i="5"/>
  <c r="AV681"/>
  <c r="L65" i="3" s="1"/>
  <c r="N65" s="1"/>
  <c r="J681" i="5"/>
  <c r="J680" s="1"/>
  <c r="J108" i="4" s="1"/>
  <c r="AX681" i="5"/>
  <c r="K65" i="3" s="1"/>
  <c r="BC679" i="5"/>
  <c r="AV679"/>
  <c r="J679"/>
  <c r="AX679"/>
  <c r="AU676"/>
  <c r="AV678"/>
  <c r="AX678"/>
  <c r="BC678" s="1"/>
  <c r="K676"/>
  <c r="K107" i="4" s="1"/>
  <c r="BC677" i="5"/>
  <c r="AV677"/>
  <c r="J677"/>
  <c r="J676" s="1"/>
  <c r="J107" i="4" s="1"/>
  <c r="BC675" i="5"/>
  <c r="AV675"/>
  <c r="J675"/>
  <c r="K675"/>
  <c r="BC674"/>
  <c r="AV674"/>
  <c r="J674"/>
  <c r="K674"/>
  <c r="BC673"/>
  <c r="AV673"/>
  <c r="BH673"/>
  <c r="AB673" s="1"/>
  <c r="J673"/>
  <c r="K673"/>
  <c r="AU670"/>
  <c r="BC672"/>
  <c r="K672"/>
  <c r="AX672"/>
  <c r="AV672" s="1"/>
  <c r="AV671"/>
  <c r="BC671"/>
  <c r="L670"/>
  <c r="L106" i="4" s="1"/>
  <c r="N106" s="1"/>
  <c r="J671" i="5"/>
  <c r="AV669"/>
  <c r="BC669"/>
  <c r="J669"/>
  <c r="AV668"/>
  <c r="BC668"/>
  <c r="J668"/>
  <c r="K668"/>
  <c r="K664" s="1"/>
  <c r="K105" i="4" s="1"/>
  <c r="BC667" i="5"/>
  <c r="L664"/>
  <c r="L105" i="4" s="1"/>
  <c r="N105" s="1"/>
  <c r="AS664" i="5"/>
  <c r="J664"/>
  <c r="J105" i="4" s="1"/>
  <c r="AT664" i="5"/>
  <c r="AU664"/>
  <c r="AV665"/>
  <c r="BC665"/>
  <c r="AV663"/>
  <c r="BC663"/>
  <c r="J663"/>
  <c r="J662" s="1"/>
  <c r="J104" i="4" s="1"/>
  <c r="BI663" i="5"/>
  <c r="AC663" s="1"/>
  <c r="K663"/>
  <c r="K662" s="1"/>
  <c r="K104" i="4" s="1"/>
  <c r="AV660" i="5"/>
  <c r="BC660"/>
  <c r="J660"/>
  <c r="AV659"/>
  <c r="BC659"/>
  <c r="J659"/>
  <c r="K659"/>
  <c r="AV658"/>
  <c r="BC658"/>
  <c r="J658"/>
  <c r="BI658"/>
  <c r="AC658" s="1"/>
  <c r="K658"/>
  <c r="AV657"/>
  <c r="BC657"/>
  <c r="J657"/>
  <c r="BI657"/>
  <c r="AC657" s="1"/>
  <c r="K657"/>
  <c r="BC656"/>
  <c r="AV655"/>
  <c r="BC655"/>
  <c r="BH655"/>
  <c r="AB655" s="1"/>
  <c r="J655"/>
  <c r="AV654"/>
  <c r="BC654"/>
  <c r="J654"/>
  <c r="K654"/>
  <c r="BC653"/>
  <c r="AT650"/>
  <c r="AS650"/>
  <c r="AU650"/>
  <c r="L650"/>
  <c r="L103" i="4" s="1"/>
  <c r="N103" s="1"/>
  <c r="BC651" i="5"/>
  <c r="AV649"/>
  <c r="AS645"/>
  <c r="K649"/>
  <c r="BC647"/>
  <c r="AV647"/>
  <c r="AT645"/>
  <c r="J647"/>
  <c r="J645" s="1"/>
  <c r="J102" i="4" s="1"/>
  <c r="AU645" i="5"/>
  <c r="J64" i="3"/>
  <c r="AV646" i="5"/>
  <c r="BC646"/>
  <c r="K64" i="3"/>
  <c r="BI646" i="5"/>
  <c r="AC646" s="1"/>
  <c r="K646"/>
  <c r="BC644"/>
  <c r="AV644"/>
  <c r="AX644"/>
  <c r="BI642"/>
  <c r="AW642"/>
  <c r="K642"/>
  <c r="BC641"/>
  <c r="AV641"/>
  <c r="BH641"/>
  <c r="AD641" s="1"/>
  <c r="J641"/>
  <c r="K641"/>
  <c r="AX641"/>
  <c r="BC640"/>
  <c r="AV640"/>
  <c r="BI640"/>
  <c r="AE640" s="1"/>
  <c r="J640"/>
  <c r="J634" s="1"/>
  <c r="J100" i="4" s="1"/>
  <c r="K640" i="5"/>
  <c r="AS634"/>
  <c r="AW639"/>
  <c r="K639"/>
  <c r="BH638"/>
  <c r="AD638" s="1"/>
  <c r="AW638"/>
  <c r="K638"/>
  <c r="BI637"/>
  <c r="AE637" s="1"/>
  <c r="AW637"/>
  <c r="K637"/>
  <c r="AU634"/>
  <c r="BI636"/>
  <c r="AE636" s="1"/>
  <c r="AW636"/>
  <c r="K636"/>
  <c r="BC635"/>
  <c r="L634"/>
  <c r="L100" i="4" s="1"/>
  <c r="N100" s="1"/>
  <c r="AV633" i="5"/>
  <c r="BC633"/>
  <c r="J633"/>
  <c r="AV632"/>
  <c r="BC632"/>
  <c r="J632"/>
  <c r="BI632"/>
  <c r="AE632" s="1"/>
  <c r="K632"/>
  <c r="K628" s="1"/>
  <c r="K99" i="4" s="1"/>
  <c r="K69" i="3"/>
  <c r="BC630" i="5"/>
  <c r="L628"/>
  <c r="L99" i="4" s="1"/>
  <c r="N99" s="1"/>
  <c r="AS628" i="5"/>
  <c r="AT628"/>
  <c r="AU628"/>
  <c r="AV627"/>
  <c r="BC627"/>
  <c r="BH627"/>
  <c r="J627"/>
  <c r="K627"/>
  <c r="AS622"/>
  <c r="AW626"/>
  <c r="J72" i="3" s="1"/>
  <c r="K626" i="5"/>
  <c r="AV625"/>
  <c r="BC625"/>
  <c r="AV624"/>
  <c r="BC624"/>
  <c r="L622"/>
  <c r="L98" i="4" s="1"/>
  <c r="N98" s="1"/>
  <c r="AU622" i="5"/>
  <c r="BC623"/>
  <c r="AV623"/>
  <c r="J623"/>
  <c r="J622" s="1"/>
  <c r="J98" i="4" s="1"/>
  <c r="K623" i="5"/>
  <c r="BC621"/>
  <c r="AV621"/>
  <c r="J619"/>
  <c r="J97" i="4" s="1"/>
  <c r="J621" i="5"/>
  <c r="AU619"/>
  <c r="BC620"/>
  <c r="L619"/>
  <c r="L97" i="4" s="1"/>
  <c r="N97" s="1"/>
  <c r="K72" i="3"/>
  <c r="BC618" i="5"/>
  <c r="L617"/>
  <c r="L96" i="4" s="1"/>
  <c r="N96" s="1"/>
  <c r="BC616" i="5"/>
  <c r="AV616"/>
  <c r="J616"/>
  <c r="K616"/>
  <c r="AL616"/>
  <c r="BC615"/>
  <c r="AV615"/>
  <c r="K615"/>
  <c r="BC613"/>
  <c r="AV613"/>
  <c r="J613"/>
  <c r="J610" s="1"/>
  <c r="L68" i="3"/>
  <c r="N68" s="1"/>
  <c r="K613" i="5"/>
  <c r="J68" i="3"/>
  <c r="K68"/>
  <c r="AT610" i="5"/>
  <c r="AU610"/>
  <c r="BC611"/>
  <c r="BC607"/>
  <c r="AV607"/>
  <c r="J607"/>
  <c r="K62" i="3"/>
  <c r="AT604" i="5"/>
  <c r="AU604"/>
  <c r="BC605"/>
  <c r="AV605"/>
  <c r="L62" i="3" s="1"/>
  <c r="N62" s="1"/>
  <c r="J62"/>
  <c r="J605" i="5"/>
  <c r="J604" s="1"/>
  <c r="J93" i="4" s="1"/>
  <c r="K605" i="5"/>
  <c r="K604" s="1"/>
  <c r="K93" i="4" s="1"/>
  <c r="AV603" i="5"/>
  <c r="BC603"/>
  <c r="J603"/>
  <c r="AW602"/>
  <c r="K602"/>
  <c r="AU596"/>
  <c r="BC600"/>
  <c r="BC599"/>
  <c r="L596"/>
  <c r="L92" i="4" s="1"/>
  <c r="N92" s="1"/>
  <c r="AS596" i="5"/>
  <c r="J596"/>
  <c r="J92" i="4" s="1"/>
  <c r="AT596" i="5"/>
  <c r="BC597"/>
  <c r="AV597"/>
  <c r="K61" i="3"/>
  <c r="K597" i="5"/>
  <c r="BC595"/>
  <c r="AV595"/>
  <c r="J595"/>
  <c r="BC593"/>
  <c r="AV593"/>
  <c r="J593"/>
  <c r="K593"/>
  <c r="BC592"/>
  <c r="AV592"/>
  <c r="J592"/>
  <c r="K592"/>
  <c r="AU588"/>
  <c r="BC591"/>
  <c r="AV591"/>
  <c r="BI591"/>
  <c r="AE591" s="1"/>
  <c r="J591"/>
  <c r="J60" i="3"/>
  <c r="K60"/>
  <c r="BC589" i="5"/>
  <c r="L588"/>
  <c r="AV589"/>
  <c r="L60" i="3" s="1"/>
  <c r="N60" s="1"/>
  <c r="BC586" i="5"/>
  <c r="AV586"/>
  <c r="K55" i="3"/>
  <c r="J586" i="5"/>
  <c r="BC585"/>
  <c r="AV583"/>
  <c r="L55" i="3" s="1"/>
  <c r="N55" s="1"/>
  <c r="BC583" i="5"/>
  <c r="K581"/>
  <c r="K89" i="4" s="1"/>
  <c r="AS581" i="5"/>
  <c r="AU581"/>
  <c r="J581"/>
  <c r="J89" i="4" s="1"/>
  <c r="J583" i="5"/>
  <c r="L581"/>
  <c r="L89" i="4" s="1"/>
  <c r="N89" s="1"/>
  <c r="J55" i="3"/>
  <c r="BC582" i="5"/>
  <c r="AV580"/>
  <c r="BC580"/>
  <c r="J54" i="3"/>
  <c r="L577" i="5"/>
  <c r="L88" i="4" s="1"/>
  <c r="N88" s="1"/>
  <c r="J580" i="5"/>
  <c r="J577" s="1"/>
  <c r="J88" i="4" s="1"/>
  <c r="K54" i="3"/>
  <c r="K577" i="5"/>
  <c r="K88" i="4" s="1"/>
  <c r="L54" i="3"/>
  <c r="N54" s="1"/>
  <c r="AT577" i="5"/>
  <c r="AS577"/>
  <c r="BC578"/>
  <c r="AL578"/>
  <c r="AU577" s="1"/>
  <c r="BC576"/>
  <c r="L575"/>
  <c r="L87" i="4" s="1"/>
  <c r="N87" s="1"/>
  <c r="AV576" i="5"/>
  <c r="L53" i="3" s="1"/>
  <c r="N53" s="1"/>
  <c r="BC574" i="5"/>
  <c r="AV574"/>
  <c r="AV571"/>
  <c r="BC571"/>
  <c r="AS565"/>
  <c r="K571"/>
  <c r="BC569"/>
  <c r="AV569"/>
  <c r="AT565"/>
  <c r="BC568"/>
  <c r="AV568"/>
  <c r="BI568"/>
  <c r="AE568" s="1"/>
  <c r="J568"/>
  <c r="BC567"/>
  <c r="AV567"/>
  <c r="J567"/>
  <c r="K567"/>
  <c r="K56" i="3"/>
  <c r="AV566" i="5"/>
  <c r="L56" i="3" s="1"/>
  <c r="N56" s="1"/>
  <c r="BC566" i="5"/>
  <c r="J56" i="3"/>
  <c r="AL566" i="5"/>
  <c r="AU565" s="1"/>
  <c r="J566"/>
  <c r="AV564"/>
  <c r="BC564"/>
  <c r="BH564"/>
  <c r="J564"/>
  <c r="BC563"/>
  <c r="AV563"/>
  <c r="J563"/>
  <c r="K563"/>
  <c r="BC562"/>
  <c r="L557"/>
  <c r="L84" i="4" s="1"/>
  <c r="N84" s="1"/>
  <c r="J561" i="5"/>
  <c r="AW561"/>
  <c r="K561"/>
  <c r="AS557"/>
  <c r="BC560"/>
  <c r="AV560"/>
  <c r="BH560"/>
  <c r="K560"/>
  <c r="AT557"/>
  <c r="J560"/>
  <c r="BH559"/>
  <c r="AW559"/>
  <c r="K559"/>
  <c r="AU557"/>
  <c r="AV558"/>
  <c r="K558"/>
  <c r="BC554"/>
  <c r="AV554"/>
  <c r="BI554"/>
  <c r="AC554" s="1"/>
  <c r="J554"/>
  <c r="K554"/>
  <c r="L548"/>
  <c r="L83" i="4" s="1"/>
  <c r="N83" s="1"/>
  <c r="K553" i="5"/>
  <c r="BC552"/>
  <c r="K552"/>
  <c r="AS548"/>
  <c r="AV550"/>
  <c r="AT548"/>
  <c r="AU548"/>
  <c r="J548"/>
  <c r="J83" i="4" s="1"/>
  <c r="K550" i="5"/>
  <c r="K58" i="3"/>
  <c r="AW549" i="5"/>
  <c r="AV546"/>
  <c r="BC546"/>
  <c r="K546"/>
  <c r="AV544"/>
  <c r="BC544"/>
  <c r="J544"/>
  <c r="BC543"/>
  <c r="AV543"/>
  <c r="J543"/>
  <c r="BC542"/>
  <c r="AV542"/>
  <c r="J542"/>
  <c r="AX542"/>
  <c r="BC541"/>
  <c r="AV541"/>
  <c r="J541"/>
  <c r="BH541"/>
  <c r="AD541" s="1"/>
  <c r="K541"/>
  <c r="AW540"/>
  <c r="K540"/>
  <c r="BC539"/>
  <c r="BC538"/>
  <c r="AV538"/>
  <c r="J538"/>
  <c r="BC537"/>
  <c r="AV537"/>
  <c r="L533"/>
  <c r="J537"/>
  <c r="AS533"/>
  <c r="BC536"/>
  <c r="AV536"/>
  <c r="AT533"/>
  <c r="J536"/>
  <c r="BC535"/>
  <c r="AV535"/>
  <c r="J535"/>
  <c r="AU533"/>
  <c r="K535"/>
  <c r="BC534"/>
  <c r="AX534"/>
  <c r="K534"/>
  <c r="AV531"/>
  <c r="BC531"/>
  <c r="AL531"/>
  <c r="AU527" s="1"/>
  <c r="J531"/>
  <c r="AW530"/>
  <c r="K530"/>
  <c r="AT527"/>
  <c r="K50" i="3"/>
  <c r="AS527" i="5"/>
  <c r="J50" i="3"/>
  <c r="AV528" i="5"/>
  <c r="BC528"/>
  <c r="BH528"/>
  <c r="AD528" s="1"/>
  <c r="J528"/>
  <c r="K528"/>
  <c r="AW526"/>
  <c r="K526"/>
  <c r="K51" i="3"/>
  <c r="L524" i="5"/>
  <c r="J526"/>
  <c r="J524" s="1"/>
  <c r="BC525"/>
  <c r="AV525"/>
  <c r="K525"/>
  <c r="K524" s="1"/>
  <c r="J521"/>
  <c r="J520" s="1"/>
  <c r="J77" i="4" s="1"/>
  <c r="AW521" i="5"/>
  <c r="K521"/>
  <c r="K520" s="1"/>
  <c r="K77" i="4" s="1"/>
  <c r="L520" i="5"/>
  <c r="L77" i="4" s="1"/>
  <c r="N77" s="1"/>
  <c r="BC519" i="5"/>
  <c r="K519"/>
  <c r="AV518"/>
  <c r="BC518"/>
  <c r="J518"/>
  <c r="K518"/>
  <c r="BI518"/>
  <c r="AC518" s="1"/>
  <c r="BC517"/>
  <c r="AV517"/>
  <c r="K517"/>
  <c r="BC516"/>
  <c r="AV516"/>
  <c r="J516"/>
  <c r="AX516"/>
  <c r="BC515"/>
  <c r="AX515"/>
  <c r="AV515" s="1"/>
  <c r="BI515"/>
  <c r="AC515" s="1"/>
  <c r="BC514"/>
  <c r="AV514"/>
  <c r="K514"/>
  <c r="BC513"/>
  <c r="AV513"/>
  <c r="J513"/>
  <c r="AX513"/>
  <c r="BC512"/>
  <c r="BC510"/>
  <c r="AV510"/>
  <c r="BI510"/>
  <c r="AC510" s="1"/>
  <c r="BH510"/>
  <c r="AB510" s="1"/>
  <c r="J510"/>
  <c r="K510"/>
  <c r="BC509"/>
  <c r="AV509"/>
  <c r="J509"/>
  <c r="K509"/>
  <c r="BC508"/>
  <c r="AV508"/>
  <c r="J508"/>
  <c r="K508"/>
  <c r="BC507"/>
  <c r="AV507"/>
  <c r="J507"/>
  <c r="K507"/>
  <c r="BC506"/>
  <c r="AV506"/>
  <c r="BI506"/>
  <c r="AC506" s="1"/>
  <c r="J506"/>
  <c r="BH506"/>
  <c r="AB506" s="1"/>
  <c r="AX506"/>
  <c r="BC505"/>
  <c r="BC503"/>
  <c r="AV503"/>
  <c r="J503"/>
  <c r="BC502"/>
  <c r="AV502"/>
  <c r="J502"/>
  <c r="AX502"/>
  <c r="BC501"/>
  <c r="AV499"/>
  <c r="BC499"/>
  <c r="AS495"/>
  <c r="K499"/>
  <c r="BC498"/>
  <c r="AV498"/>
  <c r="J498"/>
  <c r="K48" i="3"/>
  <c r="J48"/>
  <c r="AT495" i="5"/>
  <c r="AU495"/>
  <c r="BC496"/>
  <c r="L495"/>
  <c r="AV496"/>
  <c r="BC493"/>
  <c r="AV493"/>
  <c r="J493"/>
  <c r="L491"/>
  <c r="L74" i="4" s="1"/>
  <c r="N74" s="1"/>
  <c r="AU491" i="5"/>
  <c r="J492"/>
  <c r="AW492"/>
  <c r="K492"/>
  <c r="K491" s="1"/>
  <c r="K74" i="4" s="1"/>
  <c r="BC490" i="5"/>
  <c r="AV490"/>
  <c r="J490"/>
  <c r="AX490"/>
  <c r="BC489"/>
  <c r="AV489"/>
  <c r="J489"/>
  <c r="K489"/>
  <c r="BC488"/>
  <c r="AV488"/>
  <c r="J488"/>
  <c r="K488"/>
  <c r="BC487"/>
  <c r="BC485"/>
  <c r="AV485"/>
  <c r="J485"/>
  <c r="BC484"/>
  <c r="AV482"/>
  <c r="BC482"/>
  <c r="J482"/>
  <c r="AW481"/>
  <c r="BH481"/>
  <c r="AB481" s="1"/>
  <c r="BC480"/>
  <c r="AX480"/>
  <c r="AV480" s="1"/>
  <c r="AV479"/>
  <c r="BC479"/>
  <c r="J479"/>
  <c r="BH479"/>
  <c r="AB479" s="1"/>
  <c r="AV477"/>
  <c r="BC477"/>
  <c r="J477"/>
  <c r="BH476"/>
  <c r="AF476" s="1"/>
  <c r="C18" i="1" s="1"/>
  <c r="AW476" i="5"/>
  <c r="AV475"/>
  <c r="BC475"/>
  <c r="K475"/>
  <c r="AW474"/>
  <c r="K474"/>
  <c r="BC473"/>
  <c r="K473"/>
  <c r="AW471"/>
  <c r="BC470"/>
  <c r="AV470"/>
  <c r="J470"/>
  <c r="AX470"/>
  <c r="BC469"/>
  <c r="AV469"/>
  <c r="J469"/>
  <c r="AS465"/>
  <c r="AT465"/>
  <c r="BC468"/>
  <c r="AW467"/>
  <c r="K467"/>
  <c r="L465"/>
  <c r="K46" i="3"/>
  <c r="BI467" i="5"/>
  <c r="AG467" s="1"/>
  <c r="J467"/>
  <c r="AU465"/>
  <c r="BC466"/>
  <c r="AV466"/>
  <c r="BC463"/>
  <c r="AV463"/>
  <c r="J463"/>
  <c r="BC462"/>
  <c r="BH462"/>
  <c r="AB462" s="1"/>
  <c r="AV461"/>
  <c r="BC461"/>
  <c r="J461"/>
  <c r="AV460"/>
  <c r="BC460"/>
  <c r="J460"/>
  <c r="BH460"/>
  <c r="AF460" s="1"/>
  <c r="AU458"/>
  <c r="K458"/>
  <c r="K71" i="4" s="1"/>
  <c r="AV459" i="5"/>
  <c r="BC459"/>
  <c r="L458"/>
  <c r="L71" i="4" s="1"/>
  <c r="N71" s="1"/>
  <c r="J459" i="5"/>
  <c r="AV457"/>
  <c r="BC457"/>
  <c r="K457"/>
  <c r="AV456"/>
  <c r="BC456"/>
  <c r="K456"/>
  <c r="BC455"/>
  <c r="AV455"/>
  <c r="K454"/>
  <c r="AX454"/>
  <c r="BC453"/>
  <c r="AV453"/>
  <c r="BC452"/>
  <c r="AV452"/>
  <c r="K452"/>
  <c r="BC451"/>
  <c r="AV451"/>
  <c r="BC450"/>
  <c r="AV450"/>
  <c r="K450"/>
  <c r="BC449"/>
  <c r="AV449"/>
  <c r="J449"/>
  <c r="K449"/>
  <c r="BI449"/>
  <c r="AC449" s="1"/>
  <c r="BC448"/>
  <c r="AV448"/>
  <c r="BC447"/>
  <c r="AV447"/>
  <c r="K447"/>
  <c r="BC446"/>
  <c r="AV446"/>
  <c r="BC445"/>
  <c r="AV445"/>
  <c r="K445"/>
  <c r="J444"/>
  <c r="AW444"/>
  <c r="K444"/>
  <c r="BC443"/>
  <c r="AV443"/>
  <c r="J443"/>
  <c r="K443"/>
  <c r="BC442"/>
  <c r="AV442"/>
  <c r="J442"/>
  <c r="K442"/>
  <c r="BC441"/>
  <c r="AV441"/>
  <c r="J441"/>
  <c r="K441"/>
  <c r="BC440"/>
  <c r="AV440"/>
  <c r="J440"/>
  <c r="K440"/>
  <c r="K44" i="3"/>
  <c r="AT437" i="5"/>
  <c r="BC439"/>
  <c r="AV439"/>
  <c r="J439"/>
  <c r="J44" i="3"/>
  <c r="AS437" i="5"/>
  <c r="AU437"/>
  <c r="L437"/>
  <c r="BC438"/>
  <c r="AV438"/>
  <c r="BC434"/>
  <c r="AV434"/>
  <c r="J434"/>
  <c r="J427" s="1"/>
  <c r="J68" i="4" s="1"/>
  <c r="AT427" i="5"/>
  <c r="BC432"/>
  <c r="K40" i="3"/>
  <c r="AS427" i="5"/>
  <c r="K427"/>
  <c r="K68" i="4" s="1"/>
  <c r="AU427" i="5"/>
  <c r="L40" i="3"/>
  <c r="N40" s="1"/>
  <c r="L427" i="5"/>
  <c r="L68" i="4" s="1"/>
  <c r="N68" s="1"/>
  <c r="J40" i="3"/>
  <c r="BC428" i="5"/>
  <c r="BC425"/>
  <c r="AV425"/>
  <c r="J425"/>
  <c r="J422" s="1"/>
  <c r="J67" i="4" s="1"/>
  <c r="AU422" i="5"/>
  <c r="L42" i="3"/>
  <c r="N42" s="1"/>
  <c r="K422" i="5"/>
  <c r="K67" i="4" s="1"/>
  <c r="AT422" i="5"/>
  <c r="J42" i="3"/>
  <c r="BH420" i="5"/>
  <c r="AD420" s="1"/>
  <c r="AV420"/>
  <c r="BC418"/>
  <c r="AV416"/>
  <c r="BC414"/>
  <c r="AV412"/>
  <c r="BC410"/>
  <c r="AV408"/>
  <c r="BC406"/>
  <c r="AT395"/>
  <c r="AV404"/>
  <c r="BC404"/>
  <c r="J404"/>
  <c r="AV402"/>
  <c r="BC400"/>
  <c r="AV400"/>
  <c r="L395"/>
  <c r="L66" i="4" s="1"/>
  <c r="N66" s="1"/>
  <c r="J400" i="5"/>
  <c r="BC398"/>
  <c r="AV398"/>
  <c r="AS395"/>
  <c r="J398"/>
  <c r="AL398"/>
  <c r="AU395" s="1"/>
  <c r="BC396"/>
  <c r="K396"/>
  <c r="K395" s="1"/>
  <c r="K66" i="4" s="1"/>
  <c r="AX396" i="5"/>
  <c r="AV396" s="1"/>
  <c r="BC393"/>
  <c r="AV391"/>
  <c r="BC391"/>
  <c r="AV387"/>
  <c r="BC387"/>
  <c r="BC385"/>
  <c r="AV385"/>
  <c r="J385"/>
  <c r="J380" s="1"/>
  <c r="J65" i="4" s="1"/>
  <c r="AU380" i="5"/>
  <c r="K385"/>
  <c r="AT380"/>
  <c r="L380"/>
  <c r="L65" i="4" s="1"/>
  <c r="N65" s="1"/>
  <c r="AS380" i="5"/>
  <c r="BC381"/>
  <c r="AV381"/>
  <c r="K381"/>
  <c r="K380" s="1"/>
  <c r="K65" i="4" s="1"/>
  <c r="BC378" i="5"/>
  <c r="AV378"/>
  <c r="AS373"/>
  <c r="AT373"/>
  <c r="K378"/>
  <c r="K373" s="1"/>
  <c r="K64" i="4" s="1"/>
  <c r="BC376" i="5"/>
  <c r="AU373"/>
  <c r="K39" i="3"/>
  <c r="J39"/>
  <c r="BC374" i="5"/>
  <c r="AV374"/>
  <c r="J374"/>
  <c r="J373" s="1"/>
  <c r="J64" i="4" s="1"/>
  <c r="BC371" i="5"/>
  <c r="AV371"/>
  <c r="J371"/>
  <c r="K371"/>
  <c r="AW369"/>
  <c r="J38" i="3" s="1"/>
  <c r="K369" i="5"/>
  <c r="AT364"/>
  <c r="AV367"/>
  <c r="BC367"/>
  <c r="J364"/>
  <c r="J63" i="4" s="1"/>
  <c r="AS364" i="5"/>
  <c r="AV365"/>
  <c r="K38" i="3"/>
  <c r="BC365" i="5"/>
  <c r="AL365"/>
  <c r="AU364" s="1"/>
  <c r="BC362"/>
  <c r="AV362"/>
  <c r="J362"/>
  <c r="J359" s="1"/>
  <c r="K41" i="3"/>
  <c r="K362" i="5"/>
  <c r="K359" s="1"/>
  <c r="L41" i="3"/>
  <c r="N41" s="1"/>
  <c r="AS359" i="5"/>
  <c r="AT359"/>
  <c r="AU359"/>
  <c r="J41" i="3"/>
  <c r="K62" i="4"/>
  <c r="L62"/>
  <c r="N62" s="1"/>
  <c r="BC356" i="5"/>
  <c r="AV356"/>
  <c r="AT353"/>
  <c r="J356"/>
  <c r="J353" s="1"/>
  <c r="J60" i="4" s="1"/>
  <c r="K356" i="5"/>
  <c r="L36" i="3"/>
  <c r="N36" s="1"/>
  <c r="J36"/>
  <c r="K36"/>
  <c r="K353" i="5"/>
  <c r="K60" i="4" s="1"/>
  <c r="BC354" i="5"/>
  <c r="AL354"/>
  <c r="AU353" s="1"/>
  <c r="AV351"/>
  <c r="BC351"/>
  <c r="K351"/>
  <c r="K344" s="1"/>
  <c r="K59" i="4" s="1"/>
  <c r="AS344" i="5"/>
  <c r="AT344"/>
  <c r="L344"/>
  <c r="L59" i="4" s="1"/>
  <c r="N59" s="1"/>
  <c r="AL347" i="5"/>
  <c r="AU344" s="1"/>
  <c r="BC345"/>
  <c r="AV345"/>
  <c r="AX345"/>
  <c r="J345"/>
  <c r="J344" s="1"/>
  <c r="J59" i="4" s="1"/>
  <c r="BC342" i="5"/>
  <c r="AV342"/>
  <c r="J342"/>
  <c r="K342"/>
  <c r="BC338"/>
  <c r="AV338"/>
  <c r="AS319"/>
  <c r="J338"/>
  <c r="BC336"/>
  <c r="AV336"/>
  <c r="BI336"/>
  <c r="AE336" s="1"/>
  <c r="J336"/>
  <c r="AV334"/>
  <c r="BC334"/>
  <c r="J334"/>
  <c r="BC332"/>
  <c r="AV332"/>
  <c r="J332"/>
  <c r="K332"/>
  <c r="BC330"/>
  <c r="AV330"/>
  <c r="J330"/>
  <c r="K330"/>
  <c r="BC326"/>
  <c r="AV326"/>
  <c r="L319"/>
  <c r="L58" i="4" s="1"/>
  <c r="N58" s="1"/>
  <c r="J326" i="5"/>
  <c r="BC324"/>
  <c r="AV324"/>
  <c r="J324"/>
  <c r="AT319"/>
  <c r="K324"/>
  <c r="BC322"/>
  <c r="AV322"/>
  <c r="J322"/>
  <c r="AU319"/>
  <c r="K322"/>
  <c r="BC320"/>
  <c r="AV320"/>
  <c r="J320"/>
  <c r="K320"/>
  <c r="AT310"/>
  <c r="AS310"/>
  <c r="L310"/>
  <c r="BC313"/>
  <c r="AV313"/>
  <c r="K310"/>
  <c r="K57" i="4" s="1"/>
  <c r="J313" i="5"/>
  <c r="AU310"/>
  <c r="K313"/>
  <c r="K35" i="3"/>
  <c r="BC311" i="5"/>
  <c r="AV311"/>
  <c r="L35" i="3" s="1"/>
  <c r="N35" s="1"/>
  <c r="J35"/>
  <c r="J311" i="5"/>
  <c r="J310" s="1"/>
  <c r="J307"/>
  <c r="J306" s="1"/>
  <c r="J55" i="4" s="1"/>
  <c r="AW307" i="5"/>
  <c r="K307"/>
  <c r="K306" s="1"/>
  <c r="K55" i="4" s="1"/>
  <c r="BC304" i="5"/>
  <c r="AV304"/>
  <c r="J304"/>
  <c r="J303" s="1"/>
  <c r="J54" i="4" s="1"/>
  <c r="K304" i="5"/>
  <c r="K303" s="1"/>
  <c r="K54" i="4" s="1"/>
  <c r="BC301" i="5"/>
  <c r="AV301"/>
  <c r="J301"/>
  <c r="BC299"/>
  <c r="AV299"/>
  <c r="J299"/>
  <c r="K299"/>
  <c r="BC297"/>
  <c r="AV297"/>
  <c r="J297"/>
  <c r="K297"/>
  <c r="BC295"/>
  <c r="K295"/>
  <c r="AU290"/>
  <c r="AS290"/>
  <c r="L290"/>
  <c r="L53" i="4" s="1"/>
  <c r="N53" s="1"/>
  <c r="K291" i="5"/>
  <c r="AV288"/>
  <c r="BC288"/>
  <c r="AU285"/>
  <c r="J286"/>
  <c r="J285" s="1"/>
  <c r="J52" i="4" s="1"/>
  <c r="AW286" i="5"/>
  <c r="K286"/>
  <c r="K285" s="1"/>
  <c r="K52" i="4" s="1"/>
  <c r="L285" i="5"/>
  <c r="L52" i="4" s="1"/>
  <c r="N52" s="1"/>
  <c r="BC283" i="5"/>
  <c r="AV283"/>
  <c r="J283"/>
  <c r="K283"/>
  <c r="AV281"/>
  <c r="BC281"/>
  <c r="K281"/>
  <c r="AU278"/>
  <c r="BC279"/>
  <c r="J32" i="3"/>
  <c r="AV279" i="5"/>
  <c r="J279"/>
  <c r="K279"/>
  <c r="AX279"/>
  <c r="K32" i="3" s="1"/>
  <c r="L278" i="5"/>
  <c r="BC276"/>
  <c r="AV276"/>
  <c r="J276"/>
  <c r="J275" s="1"/>
  <c r="J49" i="4" s="1"/>
  <c r="K276" i="5"/>
  <c r="K275" s="1"/>
  <c r="K49" i="4" s="1"/>
  <c r="BC273" i="5"/>
  <c r="AV273"/>
  <c r="J273"/>
  <c r="J268" s="1"/>
  <c r="J48" i="4" s="1"/>
  <c r="K268" i="5"/>
  <c r="K48" i="4" s="1"/>
  <c r="BC271" i="5"/>
  <c r="AV271"/>
  <c r="AT268"/>
  <c r="AU268"/>
  <c r="J271"/>
  <c r="J29" i="3"/>
  <c r="K29"/>
  <c r="BC269" i="5"/>
  <c r="L268"/>
  <c r="L48" i="4" s="1"/>
  <c r="N48" s="1"/>
  <c r="AV269" i="5"/>
  <c r="L29" i="3" s="1"/>
  <c r="N29" s="1"/>
  <c r="BC267" i="5"/>
  <c r="AV267"/>
  <c r="BH267"/>
  <c r="J267"/>
  <c r="AW266"/>
  <c r="K266"/>
  <c r="BC265"/>
  <c r="AV265"/>
  <c r="BC263"/>
  <c r="AV263"/>
  <c r="J263"/>
  <c r="K263"/>
  <c r="K262"/>
  <c r="BC261"/>
  <c r="AV261"/>
  <c r="J261"/>
  <c r="BC260"/>
  <c r="AV260"/>
  <c r="J260"/>
  <c r="K260"/>
  <c r="BC258"/>
  <c r="AV258"/>
  <c r="J258"/>
  <c r="BC256"/>
  <c r="AV256"/>
  <c r="J256"/>
  <c r="BC255"/>
  <c r="AV255"/>
  <c r="J255"/>
  <c r="K255"/>
  <c r="J254"/>
  <c r="AW254"/>
  <c r="K254"/>
  <c r="BC253"/>
  <c r="BC251"/>
  <c r="AV251"/>
  <c r="J251"/>
  <c r="K251"/>
  <c r="BC250"/>
  <c r="BC249"/>
  <c r="AV249"/>
  <c r="J249"/>
  <c r="AW248"/>
  <c r="K248"/>
  <c r="BC247"/>
  <c r="AV247"/>
  <c r="K247"/>
  <c r="BI247"/>
  <c r="AE247" s="1"/>
  <c r="BC245"/>
  <c r="AV245"/>
  <c r="J245"/>
  <c r="K245"/>
  <c r="J244"/>
  <c r="AW244"/>
  <c r="K244"/>
  <c r="BI243"/>
  <c r="AE243" s="1"/>
  <c r="J243"/>
  <c r="AW243"/>
  <c r="K243"/>
  <c r="BC242"/>
  <c r="AV242"/>
  <c r="J242"/>
  <c r="K242"/>
  <c r="J241"/>
  <c r="AW241"/>
  <c r="K241"/>
  <c r="BC240"/>
  <c r="AV240"/>
  <c r="BI240"/>
  <c r="AE240" s="1"/>
  <c r="AX240"/>
  <c r="J240"/>
  <c r="BC239"/>
  <c r="BC238"/>
  <c r="AV238"/>
  <c r="J238"/>
  <c r="BC237"/>
  <c r="AV237"/>
  <c r="J237"/>
  <c r="K237"/>
  <c r="BC236"/>
  <c r="AV236"/>
  <c r="BH236"/>
  <c r="AD236" s="1"/>
  <c r="J236"/>
  <c r="K236"/>
  <c r="AS231"/>
  <c r="BC235"/>
  <c r="AV235"/>
  <c r="AX235"/>
  <c r="AT231"/>
  <c r="BC234"/>
  <c r="L231"/>
  <c r="L47" i="4" s="1"/>
  <c r="N47" s="1"/>
  <c r="AU231" i="5"/>
  <c r="BC232"/>
  <c r="AV232"/>
  <c r="K232"/>
  <c r="K223"/>
  <c r="K46" i="4" s="1"/>
  <c r="AV229" i="5"/>
  <c r="BC229"/>
  <c r="J229"/>
  <c r="J223" s="1"/>
  <c r="J46" i="4" s="1"/>
  <c r="AS223" i="5"/>
  <c r="AT223"/>
  <c r="AV226"/>
  <c r="BC226"/>
  <c r="L223"/>
  <c r="L46" i="4" s="1"/>
  <c r="N46" s="1"/>
  <c r="J226" i="5"/>
  <c r="J27" i="3"/>
  <c r="AL224" i="5"/>
  <c r="AU223" s="1"/>
  <c r="BC224"/>
  <c r="L221"/>
  <c r="L45" i="4" s="1"/>
  <c r="N45" s="1"/>
  <c r="BC222" i="5"/>
  <c r="AV220"/>
  <c r="BC220"/>
  <c r="K220"/>
  <c r="BC219"/>
  <c r="AV219"/>
  <c r="J219"/>
  <c r="K219"/>
  <c r="AW218"/>
  <c r="K218"/>
  <c r="AV217"/>
  <c r="K217"/>
  <c r="BC216"/>
  <c r="K216"/>
  <c r="AV215"/>
  <c r="BC215"/>
  <c r="AU213"/>
  <c r="AT213"/>
  <c r="AS213"/>
  <c r="J215"/>
  <c r="L213"/>
  <c r="L44" i="4" s="1"/>
  <c r="N44" s="1"/>
  <c r="BC212" i="5"/>
  <c r="K212"/>
  <c r="AV211"/>
  <c r="BC211"/>
  <c r="J211"/>
  <c r="BC210"/>
  <c r="AV210"/>
  <c r="J210"/>
  <c r="K210"/>
  <c r="AV209"/>
  <c r="AX209"/>
  <c r="BC209" s="1"/>
  <c r="AW208"/>
  <c r="J30" i="3" s="1"/>
  <c r="K208" i="5"/>
  <c r="J208"/>
  <c r="AS199"/>
  <c r="BC206"/>
  <c r="AV206"/>
  <c r="J206"/>
  <c r="K206"/>
  <c r="BC205"/>
  <c r="AV205"/>
  <c r="J205"/>
  <c r="K205"/>
  <c r="BC204"/>
  <c r="AX204"/>
  <c r="AV204" s="1"/>
  <c r="BC203"/>
  <c r="AV203"/>
  <c r="J203"/>
  <c r="J202"/>
  <c r="AW202"/>
  <c r="K202"/>
  <c r="AU199"/>
  <c r="AT199"/>
  <c r="AV200"/>
  <c r="K200"/>
  <c r="K30" i="3"/>
  <c r="AV198" i="5"/>
  <c r="BC198"/>
  <c r="AL198"/>
  <c r="AU197" s="1"/>
  <c r="J198"/>
  <c r="J197" s="1"/>
  <c r="J42" i="4" s="1"/>
  <c r="AV195" i="5"/>
  <c r="BC195"/>
  <c r="J195"/>
  <c r="BC194"/>
  <c r="AV194"/>
  <c r="J194"/>
  <c r="K194"/>
  <c r="AW193"/>
  <c r="K193"/>
  <c r="BC192"/>
  <c r="AV191"/>
  <c r="BC191"/>
  <c r="J191"/>
  <c r="K28" i="3"/>
  <c r="AV190" i="5"/>
  <c r="BC190"/>
  <c r="BH190"/>
  <c r="AD190" s="1"/>
  <c r="AT187"/>
  <c r="J190"/>
  <c r="BC189"/>
  <c r="AV189"/>
  <c r="J189"/>
  <c r="AS187"/>
  <c r="AU187"/>
  <c r="AV188"/>
  <c r="BC188"/>
  <c r="K188"/>
  <c r="BI188"/>
  <c r="AE188" s="1"/>
  <c r="L187"/>
  <c r="L41" i="4" s="1"/>
  <c r="N41" s="1"/>
  <c r="AV186" i="5"/>
  <c r="BC186"/>
  <c r="AL186"/>
  <c r="AU185" s="1"/>
  <c r="J186"/>
  <c r="J185" s="1"/>
  <c r="J40" i="4" s="1"/>
  <c r="BH186" i="5"/>
  <c r="AB186" s="1"/>
  <c r="AV183"/>
  <c r="BC183"/>
  <c r="K183"/>
  <c r="BC182"/>
  <c r="L179"/>
  <c r="L39" i="4" s="1"/>
  <c r="N39" s="1"/>
  <c r="AT179" i="5"/>
  <c r="AU179"/>
  <c r="AW180"/>
  <c r="K180"/>
  <c r="K179" s="1"/>
  <c r="K39" i="4" s="1"/>
  <c r="K26" i="3"/>
  <c r="BC177" i="5"/>
  <c r="AV177"/>
  <c r="J177"/>
  <c r="J176" s="1"/>
  <c r="J38" i="4" s="1"/>
  <c r="K177" i="5"/>
  <c r="K176" s="1"/>
  <c r="K38" i="4" s="1"/>
  <c r="L176" i="5"/>
  <c r="L38" i="4" s="1"/>
  <c r="N38" s="1"/>
  <c r="J37"/>
  <c r="BC175" i="5"/>
  <c r="L174"/>
  <c r="AW172"/>
  <c r="K172"/>
  <c r="BC171"/>
  <c r="AX171"/>
  <c r="AV171" s="1"/>
  <c r="AT167"/>
  <c r="AU167"/>
  <c r="AS167"/>
  <c r="L167"/>
  <c r="L35" i="4" s="1"/>
  <c r="N35" s="1"/>
  <c r="J167" i="5"/>
  <c r="J35" i="4" s="1"/>
  <c r="K168" i="5"/>
  <c r="K167" s="1"/>
  <c r="K35" i="4" s="1"/>
  <c r="AW168" i="5"/>
  <c r="BC166"/>
  <c r="AV166"/>
  <c r="J166"/>
  <c r="AX166"/>
  <c r="BI166"/>
  <c r="AW165"/>
  <c r="K165"/>
  <c r="BC164"/>
  <c r="AV164"/>
  <c r="J164"/>
  <c r="J158" s="1"/>
  <c r="J34" i="4" s="1"/>
  <c r="K164" i="5"/>
  <c r="AU158"/>
  <c r="L158"/>
  <c r="L34" i="4" s="1"/>
  <c r="N34" s="1"/>
  <c r="K159" i="5"/>
  <c r="J155"/>
  <c r="J33" i="4" s="1"/>
  <c r="AS155" i="5"/>
  <c r="AT155"/>
  <c r="L155"/>
  <c r="L33" i="4" s="1"/>
  <c r="N33" s="1"/>
  <c r="L21" i="3"/>
  <c r="N21" s="1"/>
  <c r="J21"/>
  <c r="BC156" i="5"/>
  <c r="AL156"/>
  <c r="AU155" s="1"/>
  <c r="BC154"/>
  <c r="AV154"/>
  <c r="J154"/>
  <c r="K154"/>
  <c r="BC153"/>
  <c r="AV153"/>
  <c r="J153"/>
  <c r="AU151"/>
  <c r="BH153"/>
  <c r="AD153" s="1"/>
  <c r="K153"/>
  <c r="K151" s="1"/>
  <c r="K32" i="4" s="1"/>
  <c r="BC152" i="5"/>
  <c r="J20" i="3"/>
  <c r="AV152" i="5"/>
  <c r="L20" i="3" s="1"/>
  <c r="N20" s="1"/>
  <c r="J152" i="5"/>
  <c r="AX152"/>
  <c r="K20" i="3" s="1"/>
  <c r="BC150" i="5"/>
  <c r="AV150"/>
  <c r="J150"/>
  <c r="K150"/>
  <c r="L144"/>
  <c r="L31" i="4" s="1"/>
  <c r="N31" s="1"/>
  <c r="AV147" i="5"/>
  <c r="BC147"/>
  <c r="AT144"/>
  <c r="J147"/>
  <c r="AU144"/>
  <c r="AV146"/>
  <c r="BC146"/>
  <c r="AS144"/>
  <c r="J146"/>
  <c r="K146"/>
  <c r="AW145"/>
  <c r="J23" i="3" s="1"/>
  <c r="K145" i="5"/>
  <c r="K23" i="3"/>
  <c r="BC143" i="5"/>
  <c r="AV143"/>
  <c r="J143"/>
  <c r="J142" s="1"/>
  <c r="J30" i="4" s="1"/>
  <c r="BI143" i="5"/>
  <c r="AC143" s="1"/>
  <c r="K143"/>
  <c r="K142" s="1"/>
  <c r="K30" i="4" s="1"/>
  <c r="BI141" i="5"/>
  <c r="AW141"/>
  <c r="K141"/>
  <c r="AV139"/>
  <c r="BC139"/>
  <c r="J139"/>
  <c r="AV137"/>
  <c r="BC137"/>
  <c r="J137"/>
  <c r="AV136"/>
  <c r="BC136"/>
  <c r="J136"/>
  <c r="K136"/>
  <c r="AW135"/>
  <c r="K135"/>
  <c r="BH134"/>
  <c r="AD134" s="1"/>
  <c r="AW134"/>
  <c r="K134"/>
  <c r="BC133"/>
  <c r="AV133"/>
  <c r="J133"/>
  <c r="AX133"/>
  <c r="BC132"/>
  <c r="AV131"/>
  <c r="BC131"/>
  <c r="AS129"/>
  <c r="J131"/>
  <c r="AT129"/>
  <c r="AU129"/>
  <c r="K22" i="3"/>
  <c r="AV130" i="5"/>
  <c r="BC130"/>
  <c r="L129"/>
  <c r="J130"/>
  <c r="BC126"/>
  <c r="AV126"/>
  <c r="BH126"/>
  <c r="J126"/>
  <c r="K126"/>
  <c r="J125"/>
  <c r="AW125"/>
  <c r="K125"/>
  <c r="BH124"/>
  <c r="AW124"/>
  <c r="K124"/>
  <c r="L121"/>
  <c r="L27" i="4" s="1"/>
  <c r="N27" s="1"/>
  <c r="AL123" i="5"/>
  <c r="AU121" s="1"/>
  <c r="AS121"/>
  <c r="BC123"/>
  <c r="AT121"/>
  <c r="BC122"/>
  <c r="AV122"/>
  <c r="J122"/>
  <c r="BI122"/>
  <c r="K122"/>
  <c r="AW120"/>
  <c r="K120"/>
  <c r="AT117"/>
  <c r="AW119"/>
  <c r="K119"/>
  <c r="AU117"/>
  <c r="J117"/>
  <c r="J26" i="4" s="1"/>
  <c r="BC118" i="5"/>
  <c r="L117"/>
  <c r="L26" i="4" s="1"/>
  <c r="N26" s="1"/>
  <c r="L114" i="5"/>
  <c r="L25" i="4" s="1"/>
  <c r="N25" s="1"/>
  <c r="AT114" i="5"/>
  <c r="AU114"/>
  <c r="BC115"/>
  <c r="AV115"/>
  <c r="J115"/>
  <c r="J114" s="1"/>
  <c r="J25" i="4" s="1"/>
  <c r="K115" i="5"/>
  <c r="K114" s="1"/>
  <c r="K25" i="4" s="1"/>
  <c r="AV113" i="5"/>
  <c r="BC113"/>
  <c r="L111"/>
  <c r="L24" i="4" s="1"/>
  <c r="N24" s="1"/>
  <c r="J113" i="5"/>
  <c r="J111" s="1"/>
  <c r="J24" i="4" s="1"/>
  <c r="K111" i="5"/>
  <c r="K24" i="4" s="1"/>
  <c r="AX112" i="5"/>
  <c r="AW112"/>
  <c r="J110"/>
  <c r="J109" s="1"/>
  <c r="J23" i="4" s="1"/>
  <c r="AW110" i="5"/>
  <c r="K110"/>
  <c r="K109" s="1"/>
  <c r="K23" i="4" s="1"/>
  <c r="BC108" i="5"/>
  <c r="AV108"/>
  <c r="J108"/>
  <c r="J100" s="1"/>
  <c r="J22" i="4" s="1"/>
  <c r="AX108" i="5"/>
  <c r="BC107"/>
  <c r="AW105"/>
  <c r="AT100"/>
  <c r="BC104"/>
  <c r="AX104"/>
  <c r="AV104" s="1"/>
  <c r="AS100"/>
  <c r="AX102"/>
  <c r="AV102" s="1"/>
  <c r="AU100"/>
  <c r="BC101"/>
  <c r="AV101"/>
  <c r="K101"/>
  <c r="K100" s="1"/>
  <c r="K22" i="4" s="1"/>
  <c r="L100" i="5"/>
  <c r="L22" i="4" s="1"/>
  <c r="N22" s="1"/>
  <c r="AV98" i="5"/>
  <c r="BC98"/>
  <c r="J98"/>
  <c r="BC97"/>
  <c r="AV97"/>
  <c r="J97"/>
  <c r="K97"/>
  <c r="BC96"/>
  <c r="AV96"/>
  <c r="J96"/>
  <c r="K96"/>
  <c r="BC95"/>
  <c r="AV94"/>
  <c r="BC94"/>
  <c r="J94"/>
  <c r="BC93"/>
  <c r="AV93"/>
  <c r="AT88"/>
  <c r="J93"/>
  <c r="AS88"/>
  <c r="BC92"/>
  <c r="AV92"/>
  <c r="J92"/>
  <c r="K92"/>
  <c r="BC91"/>
  <c r="K91"/>
  <c r="AU88"/>
  <c r="AW90"/>
  <c r="K90"/>
  <c r="L88"/>
  <c r="L21" i="4" s="1"/>
  <c r="N21" s="1"/>
  <c r="K17" i="3"/>
  <c r="K89" i="5"/>
  <c r="BC87"/>
  <c r="J17" i="3"/>
  <c r="AV87" i="5"/>
  <c r="AL87"/>
  <c r="AU86" s="1"/>
  <c r="J87"/>
  <c r="J86" s="1"/>
  <c r="J20" i="4" s="1"/>
  <c r="BC85" i="5"/>
  <c r="AV85"/>
  <c r="J85"/>
  <c r="BC84"/>
  <c r="AV84"/>
  <c r="J84"/>
  <c r="K84"/>
  <c r="BC83"/>
  <c r="AV83"/>
  <c r="J83"/>
  <c r="BI83"/>
  <c r="AE83" s="1"/>
  <c r="K83"/>
  <c r="BC82"/>
  <c r="AV82"/>
  <c r="J82"/>
  <c r="K82"/>
  <c r="BI82"/>
  <c r="AE82" s="1"/>
  <c r="J81"/>
  <c r="AW81"/>
  <c r="K81"/>
  <c r="K16" i="3"/>
  <c r="AU79" i="5"/>
  <c r="AV80"/>
  <c r="BC80"/>
  <c r="L79"/>
  <c r="L19" i="4" s="1"/>
  <c r="N19" s="1"/>
  <c r="J80" i="5"/>
  <c r="AV78"/>
  <c r="BC78"/>
  <c r="BH78"/>
  <c r="J78"/>
  <c r="BC77"/>
  <c r="AV77"/>
  <c r="J77"/>
  <c r="K77"/>
  <c r="BC76"/>
  <c r="AV76"/>
  <c r="J76"/>
  <c r="K76"/>
  <c r="BC75"/>
  <c r="AV75"/>
  <c r="J75"/>
  <c r="K75"/>
  <c r="BC74"/>
  <c r="AV73"/>
  <c r="BC73"/>
  <c r="BI73"/>
  <c r="AE73" s="1"/>
  <c r="J73"/>
  <c r="BC72"/>
  <c r="AV72"/>
  <c r="J72"/>
  <c r="K72"/>
  <c r="BC71"/>
  <c r="AV71"/>
  <c r="J71"/>
  <c r="K71"/>
  <c r="BC70"/>
  <c r="AX70"/>
  <c r="AV70" s="1"/>
  <c r="AV69"/>
  <c r="BC69"/>
  <c r="J69"/>
  <c r="AV68"/>
  <c r="BC68"/>
  <c r="J68"/>
  <c r="BI68"/>
  <c r="AE68" s="1"/>
  <c r="L61"/>
  <c r="L18" i="4" s="1"/>
  <c r="N18" s="1"/>
  <c r="BC67" i="5"/>
  <c r="AV67"/>
  <c r="J67"/>
  <c r="K67"/>
  <c r="AW66"/>
  <c r="K66"/>
  <c r="AT61"/>
  <c r="AW65"/>
  <c r="K65"/>
  <c r="BC64"/>
  <c r="AV64"/>
  <c r="BH64"/>
  <c r="AD64" s="1"/>
  <c r="J64"/>
  <c r="K64"/>
  <c r="AS61"/>
  <c r="BC63"/>
  <c r="AV63"/>
  <c r="J63"/>
  <c r="K63"/>
  <c r="AL62"/>
  <c r="AU61" s="1"/>
  <c r="BC62"/>
  <c r="BC60"/>
  <c r="AV60"/>
  <c r="J60"/>
  <c r="AT50"/>
  <c r="L50"/>
  <c r="L17" i="4" s="1"/>
  <c r="N17" s="1"/>
  <c r="BC58" i="5"/>
  <c r="AV58"/>
  <c r="J58"/>
  <c r="AX58"/>
  <c r="BC56"/>
  <c r="AV56"/>
  <c r="J56"/>
  <c r="BI56"/>
  <c r="AE56" s="1"/>
  <c r="AX56"/>
  <c r="AW54"/>
  <c r="K54"/>
  <c r="BC53"/>
  <c r="AV53"/>
  <c r="J53"/>
  <c r="AX53"/>
  <c r="BC52"/>
  <c r="AU50"/>
  <c r="AX52"/>
  <c r="AV52" s="1"/>
  <c r="AW51"/>
  <c r="K51"/>
  <c r="AW49"/>
  <c r="K49"/>
  <c r="BC47"/>
  <c r="BC45"/>
  <c r="AV45"/>
  <c r="J45"/>
  <c r="K45"/>
  <c r="AW44"/>
  <c r="K44"/>
  <c r="BC43"/>
  <c r="AV43"/>
  <c r="J43"/>
  <c r="BC41"/>
  <c r="AV41"/>
  <c r="J41"/>
  <c r="K41"/>
  <c r="BC39"/>
  <c r="AV39"/>
  <c r="J39"/>
  <c r="AX39"/>
  <c r="BC38"/>
  <c r="AV38"/>
  <c r="AX38"/>
  <c r="J38"/>
  <c r="AW37"/>
  <c r="K37"/>
  <c r="BH37"/>
  <c r="AB37" s="1"/>
  <c r="C14" i="1" s="1"/>
  <c r="BC35" i="5"/>
  <c r="AV35"/>
  <c r="J35"/>
  <c r="K35"/>
  <c r="BC33"/>
  <c r="AV33"/>
  <c r="J33"/>
  <c r="K33"/>
  <c r="BC31"/>
  <c r="AV31"/>
  <c r="J31"/>
  <c r="AS23"/>
  <c r="AV28"/>
  <c r="BC28"/>
  <c r="J28"/>
  <c r="BC27"/>
  <c r="AV27"/>
  <c r="J27"/>
  <c r="K27"/>
  <c r="BC26"/>
  <c r="AU23"/>
  <c r="BC25"/>
  <c r="AV25"/>
  <c r="J25"/>
  <c r="AT23"/>
  <c r="K25"/>
  <c r="L23"/>
  <c r="L16" i="4" s="1"/>
  <c r="N16" s="1"/>
  <c r="K14" i="3"/>
  <c r="BC24" i="5"/>
  <c r="AW22"/>
  <c r="K22"/>
  <c r="K21" s="1"/>
  <c r="K15" i="4" s="1"/>
  <c r="L21" i="5"/>
  <c r="L15" i="4" s="1"/>
  <c r="N15" s="1"/>
  <c r="BC19" i="5"/>
  <c r="C28" i="1"/>
  <c r="F28" s="1"/>
  <c r="L18" i="5"/>
  <c r="L14" i="4" s="1"/>
  <c r="N14" s="1"/>
  <c r="C20" i="1"/>
  <c r="K13" i="5"/>
  <c r="K13" i="4" s="1"/>
  <c r="C27" i="1"/>
  <c r="J13" i="3"/>
  <c r="C21" i="1"/>
  <c r="C19"/>
  <c r="J13" i="5"/>
  <c r="J13" i="4" s="1"/>
  <c r="C15" i="1"/>
  <c r="AU13" i="5"/>
  <c r="L13"/>
  <c r="BC14"/>
  <c r="AS13"/>
  <c r="AV14"/>
  <c r="L13" i="3" s="1"/>
  <c r="N13" s="1"/>
  <c r="AV767" i="5" l="1"/>
  <c r="BC767"/>
  <c r="J76" i="3"/>
  <c r="BC766" i="5"/>
  <c r="AV766"/>
  <c r="BC765"/>
  <c r="AV765"/>
  <c r="K758"/>
  <c r="K122" i="4" s="1"/>
  <c r="BC764" i="5"/>
  <c r="AV764"/>
  <c r="L121" i="4"/>
  <c r="P121" s="1"/>
  <c r="L75" i="3"/>
  <c r="P75" s="1"/>
  <c r="L122" i="4"/>
  <c r="N122" s="1"/>
  <c r="BC762" i="5"/>
  <c r="AV762"/>
  <c r="J758"/>
  <c r="J122" i="4" s="1"/>
  <c r="L76" i="3"/>
  <c r="N76" s="1"/>
  <c r="K754" i="5"/>
  <c r="K120" i="4" s="1"/>
  <c r="BC748" i="5"/>
  <c r="AV748"/>
  <c r="AV746"/>
  <c r="L74" i="3" s="1"/>
  <c r="N74" s="1"/>
  <c r="BC746" i="5"/>
  <c r="J74" i="3"/>
  <c r="K731" i="5"/>
  <c r="K119" i="4" s="1"/>
  <c r="L730" i="5"/>
  <c r="L118" i="4" s="1"/>
  <c r="P118" s="1"/>
  <c r="J731" i="5"/>
  <c r="J730" s="1"/>
  <c r="J73" i="3" s="1"/>
  <c r="BC725" i="5"/>
  <c r="AV725"/>
  <c r="BC724"/>
  <c r="AV724"/>
  <c r="J71" i="3"/>
  <c r="K715" i="5"/>
  <c r="K116" i="4" s="1"/>
  <c r="BC720" i="5"/>
  <c r="AV720"/>
  <c r="J715"/>
  <c r="J116" i="4" s="1"/>
  <c r="J709" i="5"/>
  <c r="J115" i="4" s="1"/>
  <c r="AV710" i="5"/>
  <c r="L71" i="3" s="1"/>
  <c r="N71" s="1"/>
  <c r="BC708" i="5"/>
  <c r="AV708"/>
  <c r="L70" i="3"/>
  <c r="N70" s="1"/>
  <c r="K705" i="5"/>
  <c r="K114" i="4" s="1"/>
  <c r="J698" i="5"/>
  <c r="J113" i="4" s="1"/>
  <c r="L67" i="3"/>
  <c r="N67" s="1"/>
  <c r="J690" i="5"/>
  <c r="J110" i="4" s="1"/>
  <c r="J670" i="5"/>
  <c r="J106" i="4" s="1"/>
  <c r="K670" i="5"/>
  <c r="K106" i="4" s="1"/>
  <c r="J650" i="5"/>
  <c r="J103" i="4" s="1"/>
  <c r="K650" i="5"/>
  <c r="K103" i="4" s="1"/>
  <c r="L64" i="3"/>
  <c r="N64" s="1"/>
  <c r="K645" i="5"/>
  <c r="K102" i="4" s="1"/>
  <c r="AV642" i="5"/>
  <c r="BC642"/>
  <c r="AV639"/>
  <c r="BC639"/>
  <c r="J69" i="3"/>
  <c r="AV638" i="5"/>
  <c r="BC638"/>
  <c r="AV637"/>
  <c r="BC637"/>
  <c r="C17" i="1"/>
  <c r="K634" i="5"/>
  <c r="K100" i="4" s="1"/>
  <c r="AV636" i="5"/>
  <c r="BC636"/>
  <c r="J628"/>
  <c r="J99" i="4" s="1"/>
  <c r="K622" i="5"/>
  <c r="K98" i="4" s="1"/>
  <c r="BC626" i="5"/>
  <c r="AV626"/>
  <c r="L72" i="3"/>
  <c r="N72" s="1"/>
  <c r="L609" i="5"/>
  <c r="L24" i="2" s="1"/>
  <c r="P24" s="1"/>
  <c r="K610" i="5"/>
  <c r="K95" i="4" s="1"/>
  <c r="J95"/>
  <c r="BC602" i="5"/>
  <c r="AV602"/>
  <c r="L61" i="3"/>
  <c r="N61" s="1"/>
  <c r="J61"/>
  <c r="K596" i="5"/>
  <c r="K92" i="4" s="1"/>
  <c r="J588" i="5"/>
  <c r="J587" s="1"/>
  <c r="J90" i="4" s="1"/>
  <c r="K588" i="5"/>
  <c r="L91" i="4"/>
  <c r="N91" s="1"/>
  <c r="L587" i="5"/>
  <c r="K565"/>
  <c r="K85" i="4" s="1"/>
  <c r="J565" i="5"/>
  <c r="J85" i="4" s="1"/>
  <c r="J557" i="5"/>
  <c r="J84" i="4" s="1"/>
  <c r="BC561" i="5"/>
  <c r="AV561"/>
  <c r="BC559"/>
  <c r="AV559"/>
  <c r="K557"/>
  <c r="K84" i="4" s="1"/>
  <c r="K548" i="5"/>
  <c r="K83" i="4" s="1"/>
  <c r="J58" i="3"/>
  <c r="BC549" i="5"/>
  <c r="AV549"/>
  <c r="L58" i="3" s="1"/>
  <c r="N58" s="1"/>
  <c r="BC540" i="5"/>
  <c r="AV540"/>
  <c r="J57" i="3"/>
  <c r="K533" i="5"/>
  <c r="L82" i="4"/>
  <c r="N82" s="1"/>
  <c r="L532" i="5"/>
  <c r="J533"/>
  <c r="J82" i="4" s="1"/>
  <c r="AV534" i="5"/>
  <c r="L57" i="3" s="1"/>
  <c r="N57" s="1"/>
  <c r="K57"/>
  <c r="K82" i="4"/>
  <c r="J527" i="5"/>
  <c r="J80" i="4" s="1"/>
  <c r="BC530" i="5"/>
  <c r="AV530"/>
  <c r="K527"/>
  <c r="K80" i="4" s="1"/>
  <c r="L50" i="3"/>
  <c r="N50" s="1"/>
  <c r="J79" i="4"/>
  <c r="BC526" i="5"/>
  <c r="AV526"/>
  <c r="L523"/>
  <c r="L79" i="4"/>
  <c r="N79" s="1"/>
  <c r="L51" i="3"/>
  <c r="N51" s="1"/>
  <c r="J51"/>
  <c r="K79" i="4"/>
  <c r="BC521" i="5"/>
  <c r="AV521"/>
  <c r="K495"/>
  <c r="K76" i="4" s="1"/>
  <c r="J495" i="5"/>
  <c r="J494" s="1"/>
  <c r="J20" i="2" s="1"/>
  <c r="L48" i="3"/>
  <c r="N48" s="1"/>
  <c r="L494" i="5"/>
  <c r="L76" i="4"/>
  <c r="N76" s="1"/>
  <c r="L464" i="5"/>
  <c r="L45" i="3" s="1"/>
  <c r="P45" s="1"/>
  <c r="J491" i="5"/>
  <c r="J74" i="4" s="1"/>
  <c r="BC492" i="5"/>
  <c r="AV492"/>
  <c r="BC481"/>
  <c r="AV481"/>
  <c r="BC476"/>
  <c r="AV476"/>
  <c r="L72" i="4"/>
  <c r="P72" s="1"/>
  <c r="K465" i="5"/>
  <c r="K73" i="4" s="1"/>
  <c r="BC474" i="5"/>
  <c r="AV474"/>
  <c r="J46" i="3"/>
  <c r="BC471" i="5"/>
  <c r="AV471"/>
  <c r="J465"/>
  <c r="J73" i="4" s="1"/>
  <c r="L73"/>
  <c r="N73" s="1"/>
  <c r="K464" i="5"/>
  <c r="K72" i="4" s="1"/>
  <c r="L46" i="3"/>
  <c r="N46" s="1"/>
  <c r="BC467" i="5"/>
  <c r="AV467"/>
  <c r="J458"/>
  <c r="J71" i="4" s="1"/>
  <c r="BC454" i="5"/>
  <c r="AV454"/>
  <c r="BC444"/>
  <c r="AV444"/>
  <c r="K437"/>
  <c r="K436" s="1"/>
  <c r="K43" i="3" s="1"/>
  <c r="J437" i="5"/>
  <c r="J70" i="4" s="1"/>
  <c r="L44" i="3"/>
  <c r="N44" s="1"/>
  <c r="L436" i="5"/>
  <c r="L70" i="4"/>
  <c r="N70" s="1"/>
  <c r="C16" i="1"/>
  <c r="J395" i="5"/>
  <c r="J66" i="4" s="1"/>
  <c r="L358" i="5"/>
  <c r="L61" i="4" s="1"/>
  <c r="P61" s="1"/>
  <c r="L39" i="3"/>
  <c r="N39" s="1"/>
  <c r="K364" i="5"/>
  <c r="K63" i="4" s="1"/>
  <c r="BC369" i="5"/>
  <c r="AV369"/>
  <c r="L38" i="3"/>
  <c r="N38" s="1"/>
  <c r="J62" i="4"/>
  <c r="L309" i="5"/>
  <c r="L56" i="4" s="1"/>
  <c r="P56" s="1"/>
  <c r="K319" i="5"/>
  <c r="K58" i="4" s="1"/>
  <c r="J319" i="5"/>
  <c r="J58" i="4" s="1"/>
  <c r="L57"/>
  <c r="N57" s="1"/>
  <c r="J57"/>
  <c r="J33" i="3"/>
  <c r="BC307" i="5"/>
  <c r="AV307"/>
  <c r="L33" i="3" s="1"/>
  <c r="N33" s="1"/>
  <c r="J290" i="5"/>
  <c r="J53" i="4" s="1"/>
  <c r="K290" i="5"/>
  <c r="K53" i="4" s="1"/>
  <c r="BC286" i="5"/>
  <c r="AV286"/>
  <c r="J278"/>
  <c r="K278"/>
  <c r="K51" i="4" s="1"/>
  <c r="L32" i="3"/>
  <c r="N32" s="1"/>
  <c r="L51" i="4"/>
  <c r="N51" s="1"/>
  <c r="L277" i="5"/>
  <c r="BC266"/>
  <c r="AV266"/>
  <c r="J28" i="3"/>
  <c r="BC254" i="5"/>
  <c r="AV254"/>
  <c r="AV248"/>
  <c r="BC248"/>
  <c r="BC244"/>
  <c r="AV244"/>
  <c r="BC243"/>
  <c r="AV243"/>
  <c r="BC241"/>
  <c r="AV241"/>
  <c r="J231"/>
  <c r="J47" i="4" s="1"/>
  <c r="K231" i="5"/>
  <c r="K47" i="4" s="1"/>
  <c r="L27" i="3"/>
  <c r="N27" s="1"/>
  <c r="J213" i="5"/>
  <c r="J44" i="4" s="1"/>
  <c r="BC218" i="5"/>
  <c r="AV218"/>
  <c r="K213"/>
  <c r="K44" i="4" s="1"/>
  <c r="AV208" i="5"/>
  <c r="BC208"/>
  <c r="J199"/>
  <c r="J43" i="4" s="1"/>
  <c r="BC202" i="5"/>
  <c r="AV202"/>
  <c r="K199"/>
  <c r="K43" i="4" s="1"/>
  <c r="L30" i="3"/>
  <c r="N30" s="1"/>
  <c r="K187" i="5"/>
  <c r="K41" i="4" s="1"/>
  <c r="BC193" i="5"/>
  <c r="AV193"/>
  <c r="J187"/>
  <c r="J41" i="4" s="1"/>
  <c r="L28" i="3"/>
  <c r="N28" s="1"/>
  <c r="BC180" i="5"/>
  <c r="AV180"/>
  <c r="L26" i="3" s="1"/>
  <c r="N26" s="1"/>
  <c r="J26"/>
  <c r="L37" i="4"/>
  <c r="N37" s="1"/>
  <c r="L173" i="5"/>
  <c r="BC172"/>
  <c r="AV172"/>
  <c r="BC168"/>
  <c r="AV168"/>
  <c r="AV165"/>
  <c r="BC165"/>
  <c r="K158"/>
  <c r="K34" i="4" s="1"/>
  <c r="J151" i="5"/>
  <c r="J32" i="4" s="1"/>
  <c r="J144" i="5"/>
  <c r="J31" i="4" s="1"/>
  <c r="K144" i="5"/>
  <c r="K31" i="4" s="1"/>
  <c r="L23" i="3"/>
  <c r="N23" s="1"/>
  <c r="AV145" i="5"/>
  <c r="BC145"/>
  <c r="BC141"/>
  <c r="AV141"/>
  <c r="BC135"/>
  <c r="AV135"/>
  <c r="J22" i="3"/>
  <c r="K129" i="5"/>
  <c r="BC134"/>
  <c r="AV134"/>
  <c r="J129"/>
  <c r="L128"/>
  <c r="L29" i="4"/>
  <c r="N29" s="1"/>
  <c r="J121" i="5"/>
  <c r="J27" i="4" s="1"/>
  <c r="BC125" i="5"/>
  <c r="AV125"/>
  <c r="AV124"/>
  <c r="BC124"/>
  <c r="K121"/>
  <c r="K27" i="4" s="1"/>
  <c r="K117" i="5"/>
  <c r="K26" i="4" s="1"/>
  <c r="BC120" i="5"/>
  <c r="AV120"/>
  <c r="BC119"/>
  <c r="AV119"/>
  <c r="J18" i="3"/>
  <c r="AV112" i="5"/>
  <c r="BC112"/>
  <c r="BC110"/>
  <c r="AV110"/>
  <c r="BC105"/>
  <c r="AV105"/>
  <c r="K18" i="3"/>
  <c r="BC102" i="5"/>
  <c r="J88"/>
  <c r="J21" i="4" s="1"/>
  <c r="L17" i="3"/>
  <c r="N17" s="1"/>
  <c r="BC90" i="5"/>
  <c r="AV90"/>
  <c r="K88"/>
  <c r="K21" i="4" s="1"/>
  <c r="K79" i="5"/>
  <c r="K19" i="4" s="1"/>
  <c r="BC81" i="5"/>
  <c r="AV81"/>
  <c r="J79"/>
  <c r="J19" i="4" s="1"/>
  <c r="J16" i="3"/>
  <c r="L16"/>
  <c r="N16" s="1"/>
  <c r="K15"/>
  <c r="J61" i="5"/>
  <c r="J18" i="4" s="1"/>
  <c r="K61" i="5"/>
  <c r="K18" i="4" s="1"/>
  <c r="BC66" i="5"/>
  <c r="AV66"/>
  <c r="BC65"/>
  <c r="AV65"/>
  <c r="C29" i="1"/>
  <c r="F29" s="1"/>
  <c r="J50" i="5"/>
  <c r="J17" i="4" s="1"/>
  <c r="BC54" i="5"/>
  <c r="AV54"/>
  <c r="K50"/>
  <c r="K17" i="4" s="1"/>
  <c r="BC51" i="5"/>
  <c r="J15" i="3"/>
  <c r="AV51" i="5"/>
  <c r="BC49"/>
  <c r="AV49"/>
  <c r="BC44"/>
  <c r="AV44"/>
  <c r="J14" i="3"/>
  <c r="AV37" i="5"/>
  <c r="BC37"/>
  <c r="K23"/>
  <c r="K16" i="4" s="1"/>
  <c r="J23" i="5"/>
  <c r="J16" i="4" s="1"/>
  <c r="AV22" i="5"/>
  <c r="L14" i="3" s="1"/>
  <c r="N14" s="1"/>
  <c r="BC22" i="5"/>
  <c r="L13" i="4"/>
  <c r="N13" s="1"/>
  <c r="L768" i="5"/>
  <c r="L12"/>
  <c r="K757" l="1"/>
  <c r="K75" i="3" s="1"/>
  <c r="J757" i="5"/>
  <c r="J75" i="3" s="1"/>
  <c r="K730" i="5"/>
  <c r="K73" i="3" s="1"/>
  <c r="L73"/>
  <c r="P73" s="1"/>
  <c r="L25" i="2"/>
  <c r="P25" s="1"/>
  <c r="J119" i="4"/>
  <c r="J25" i="2"/>
  <c r="J118" i="4"/>
  <c r="C22" i="1"/>
  <c r="J609" i="5"/>
  <c r="J94" i="4" s="1"/>
  <c r="L69" i="3"/>
  <c r="N69" s="1"/>
  <c r="L63"/>
  <c r="P63" s="1"/>
  <c r="L94" i="4"/>
  <c r="P94" s="1"/>
  <c r="K609" i="5"/>
  <c r="K587"/>
  <c r="K90" i="4" s="1"/>
  <c r="J91"/>
  <c r="J23" i="2"/>
  <c r="J59" i="3"/>
  <c r="K91" i="4"/>
  <c r="L23" i="2"/>
  <c r="P23" s="1"/>
  <c r="L59" i="3"/>
  <c r="P59" s="1"/>
  <c r="L90" i="4"/>
  <c r="P90" s="1"/>
  <c r="K532" i="5"/>
  <c r="K81" i="4" s="1"/>
  <c r="L52" i="3"/>
  <c r="P52" s="1"/>
  <c r="L22" i="2"/>
  <c r="P22" s="1"/>
  <c r="L81" i="4"/>
  <c r="P81" s="1"/>
  <c r="J532" i="5"/>
  <c r="J81" i="4" s="1"/>
  <c r="J523" i="5"/>
  <c r="J78" i="4" s="1"/>
  <c r="K523" i="5"/>
  <c r="K78" i="4" s="1"/>
  <c r="L49" i="3"/>
  <c r="P49" s="1"/>
  <c r="L78" i="4"/>
  <c r="P78" s="1"/>
  <c r="L21" i="2"/>
  <c r="P21" s="1"/>
  <c r="K494" i="5"/>
  <c r="K47" i="3" s="1"/>
  <c r="J76" i="4"/>
  <c r="J75"/>
  <c r="J47" i="3"/>
  <c r="L75" i="4"/>
  <c r="P75" s="1"/>
  <c r="L47" i="3"/>
  <c r="P47" s="1"/>
  <c r="L20" i="2"/>
  <c r="P20" s="1"/>
  <c r="L19"/>
  <c r="P19" s="1"/>
  <c r="K45" i="3"/>
  <c r="J464" i="5"/>
  <c r="J19" i="2" s="1"/>
  <c r="K19"/>
  <c r="K70" i="4"/>
  <c r="K18" i="2"/>
  <c r="K69" i="4"/>
  <c r="J436" i="5"/>
  <c r="J43" i="3" s="1"/>
  <c r="L69" i="4"/>
  <c r="P69" s="1"/>
  <c r="L43" i="3"/>
  <c r="P43" s="1"/>
  <c r="L18" i="2"/>
  <c r="P18" s="1"/>
  <c r="J358" i="5"/>
  <c r="J37" i="3" s="1"/>
  <c r="L17" i="2"/>
  <c r="P17" s="1"/>
  <c r="L37" i="3"/>
  <c r="P37" s="1"/>
  <c r="K358" i="5"/>
  <c r="K17" i="2" s="1"/>
  <c r="L16"/>
  <c r="P16" s="1"/>
  <c r="L34" i="3"/>
  <c r="P34" s="1"/>
  <c r="K309" i="5"/>
  <c r="K34" i="3" s="1"/>
  <c r="J309" i="5"/>
  <c r="J16" i="2" s="1"/>
  <c r="J277" i="5"/>
  <c r="J31" i="3" s="1"/>
  <c r="J51" i="4"/>
  <c r="K277" i="5"/>
  <c r="K31" i="3" s="1"/>
  <c r="L15" i="2"/>
  <c r="P15" s="1"/>
  <c r="L50" i="4"/>
  <c r="P50" s="1"/>
  <c r="L31" i="3"/>
  <c r="P31" s="1"/>
  <c r="K173" i="5"/>
  <c r="K14" i="2" s="1"/>
  <c r="J173" i="5"/>
  <c r="J24" i="3" s="1"/>
  <c r="L123" i="4"/>
  <c r="L14" i="2"/>
  <c r="P14" s="1"/>
  <c r="L24" i="3"/>
  <c r="P24" s="1"/>
  <c r="L36" i="4"/>
  <c r="P36" s="1"/>
  <c r="L22" i="3"/>
  <c r="N22" s="1"/>
  <c r="J128" i="5"/>
  <c r="J19" i="3" s="1"/>
  <c r="K128" i="5"/>
  <c r="K19" i="3" s="1"/>
  <c r="K29" i="4"/>
  <c r="J29"/>
  <c r="L19" i="3"/>
  <c r="P19" s="1"/>
  <c r="L28" i="4"/>
  <c r="P28" s="1"/>
  <c r="L13" i="2"/>
  <c r="P13" s="1"/>
  <c r="L18" i="3"/>
  <c r="N18" s="1"/>
  <c r="I28" i="1"/>
  <c r="I29" s="1"/>
  <c r="L15" i="3"/>
  <c r="N15" s="1"/>
  <c r="K12" i="5"/>
  <c r="K12" i="3" s="1"/>
  <c r="J12" i="5"/>
  <c r="J12" i="3" s="1"/>
  <c r="L12"/>
  <c r="P12" s="1"/>
  <c r="L12" i="4"/>
  <c r="P12" s="1"/>
  <c r="L12" i="2"/>
  <c r="P12" s="1"/>
  <c r="K121" i="4" l="1"/>
  <c r="K26" i="2"/>
  <c r="J26"/>
  <c r="J121" i="4"/>
  <c r="K25" i="2"/>
  <c r="K118" i="4"/>
  <c r="J63" i="3"/>
  <c r="J24" i="2"/>
  <c r="K24"/>
  <c r="K94" i="4"/>
  <c r="K63" i="3"/>
  <c r="K23" i="2"/>
  <c r="K59" i="3"/>
  <c r="K52"/>
  <c r="K22" i="2"/>
  <c r="J22"/>
  <c r="J52" i="3"/>
  <c r="J49"/>
  <c r="J21" i="2"/>
  <c r="K49" i="3"/>
  <c r="K21" i="2"/>
  <c r="K20"/>
  <c r="K75" i="4"/>
  <c r="J45" i="3"/>
  <c r="J72" i="4"/>
  <c r="J18" i="2"/>
  <c r="J69" i="4"/>
  <c r="J61"/>
  <c r="J17" i="2"/>
  <c r="K61" i="4"/>
  <c r="K37" i="3"/>
  <c r="K56" i="4"/>
  <c r="K16" i="2"/>
  <c r="J56" i="4"/>
  <c r="J34" i="3"/>
  <c r="J15" i="2"/>
  <c r="J50" i="4"/>
  <c r="K15" i="2"/>
  <c r="K50" i="4"/>
  <c r="K36"/>
  <c r="K24" i="3"/>
  <c r="J36" i="4"/>
  <c r="J14" i="2"/>
  <c r="J28" i="4"/>
  <c r="J13" i="2"/>
  <c r="K28" i="4"/>
  <c r="K13" i="2"/>
  <c r="L27"/>
  <c r="L77" i="3"/>
  <c r="K12" i="2"/>
  <c r="K12" i="4"/>
  <c r="J12"/>
  <c r="J12" i="2"/>
</calcChain>
</file>

<file path=xl/sharedStrings.xml><?xml version="1.0" encoding="utf-8"?>
<sst xmlns="http://schemas.openxmlformats.org/spreadsheetml/2006/main" count="11917" uniqueCount="2435">
  <si>
    <t>Název stavby:</t>
  </si>
  <si>
    <t>Druh stavby:</t>
  </si>
  <si>
    <t>Lokalita:</t>
  </si>
  <si>
    <t>Začátek výstavby:</t>
  </si>
  <si>
    <t>JKSO: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</si>
  <si>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</si>
  <si>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</si>
  <si>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</si>
  <si>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</si>
  <si>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</si>
  <si>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</si>
  <si>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</si>
  <si>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</si>
  <si>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</si>
  <si>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</si>
  <si>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</si>
  <si>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</si>
  <si>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</si>
  <si>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Poznámka:</t>
  </si>
  <si>
    <t>Základní rozpočtové náklady</t>
  </si>
  <si>
    <t>Dodávky</t>
  </si>
  <si>
    <t>Montáž</t>
  </si>
  <si>
    <t>Krycí list slepého rozpočtu</t>
  </si>
  <si>
    <t>B</t>
  </si>
  <si>
    <t>DN celkem</t>
  </si>
  <si>
    <t>DN celkem z obj.</t>
  </si>
  <si>
    <t>DPH 15%</t>
  </si>
  <si>
    <t>DPH 21%</t>
  </si>
  <si>
    <t>Objednatel</t>
  </si>
  <si>
    <t>Objednatel:</t>
  </si>
  <si>
    <t>Projektant:</t>
  </si>
  <si>
    <t>Zhotovitel:</t>
  </si>
  <si>
    <t>Konec výstavby:</t>
  </si>
  <si>
    <t>Zpracoval: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</si>
  <si>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</si>
  <si>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</si>
  <si>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</si>
  <si>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</si>
  <si>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</si>
  <si>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</si>
  <si>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</si>
  <si>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</si>
  <si>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</si>
  <si>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</si>
  <si>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</si>
  <si>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</si>
  <si>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</si>
  <si>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</si>
  <si>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</si>
  <si>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</si>
  <si>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</si>
  <si>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</si>
  <si>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</si>
  <si>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00297437/CZ00297437</t>
  </si>
  <si>
    <t>25843931/CZ25843931</t>
  </si>
  <si>
    <t>536</t>
  </si>
  <si>
    <t>Slepý stavební rozpočet - Jen objekty celkem</t>
  </si>
  <si>
    <t xml:space="preserve"> </t>
  </si>
  <si>
    <t>Objekt</t>
  </si>
  <si>
    <t>1100</t>
  </si>
  <si>
    <t>1120</t>
  </si>
  <si>
    <t>1140</t>
  </si>
  <si>
    <t>1431</t>
  </si>
  <si>
    <t>1432</t>
  </si>
  <si>
    <t>1433</t>
  </si>
  <si>
    <t>1442</t>
  </si>
  <si>
    <t>1443</t>
  </si>
  <si>
    <t>1444</t>
  </si>
  <si>
    <t>2100</t>
  </si>
  <si>
    <t>2110</t>
  </si>
  <si>
    <t>2120</t>
  </si>
  <si>
    <t>2130</t>
  </si>
  <si>
    <t>2445</t>
  </si>
  <si>
    <t>VON</t>
  </si>
  <si>
    <t>Zkrácený popis</t>
  </si>
  <si>
    <t>Stavební část UN - ETICS</t>
  </si>
  <si>
    <t>Stavební část UN - střecha</t>
  </si>
  <si>
    <t>Stavební část UN - Výměna výplní + interiér</t>
  </si>
  <si>
    <t>UT - demontáže</t>
  </si>
  <si>
    <t>UT - dodávka nových zařízení</t>
  </si>
  <si>
    <t>UT - dodávka nových zařízení v napojovacím uzlu</t>
  </si>
  <si>
    <t>D.1.4.4 - Silnoproud - HROMOSVOD</t>
  </si>
  <si>
    <t>D.1.4.4 - Silnoproud - OSVĚTLENÍ</t>
  </si>
  <si>
    <t>D.1.4.4 - Silnoproud - ŽALUZIE</t>
  </si>
  <si>
    <t>Stavební část NN - ETICS</t>
  </si>
  <si>
    <t>Stavební část NN - terasa</t>
  </si>
  <si>
    <t>Stavební část NN - střecha</t>
  </si>
  <si>
    <t>Stavební část NN - hydroizolace</t>
  </si>
  <si>
    <t>D.1.4.4 - Silnoproud - VIDEOVRÁTNÝ</t>
  </si>
  <si>
    <t>Stavební část UN - Vedlejší a ostatní náklady</t>
  </si>
  <si>
    <t>Doba výstavby:</t>
  </si>
  <si>
    <t>Zpracováno dne:</t>
  </si>
  <si>
    <t>Náklady (Kč)</t>
  </si>
  <si>
    <t>Dodávka</t>
  </si>
  <si>
    <t>Celkem:</t>
  </si>
  <si>
    <t>Celkem</t>
  </si>
  <si>
    <t>F</t>
  </si>
  <si>
    <t>Slepý stavební rozpočet - Jen skupiny</t>
  </si>
  <si>
    <t>Kód</t>
  </si>
  <si>
    <t>3</t>
  </si>
  <si>
    <t>6</t>
  </si>
  <si>
    <t>76</t>
  </si>
  <si>
    <t>77</t>
  </si>
  <si>
    <t>78</t>
  </si>
  <si>
    <t>9</t>
  </si>
  <si>
    <t>71</t>
  </si>
  <si>
    <t>72</t>
  </si>
  <si>
    <t>73</t>
  </si>
  <si>
    <t>74</t>
  </si>
  <si>
    <t>1</t>
  </si>
  <si>
    <t>2</t>
  </si>
  <si>
    <t>4</t>
  </si>
  <si>
    <t>5</t>
  </si>
  <si>
    <t>8</t>
  </si>
  <si>
    <t>Svislé a kompletní konstrukce</t>
  </si>
  <si>
    <t>Úpravy povrchů a osazování výplní otvorů</t>
  </si>
  <si>
    <t>Konstrukce</t>
  </si>
  <si>
    <t>Podlahy</t>
  </si>
  <si>
    <t>Dokončovací práce</t>
  </si>
  <si>
    <t>Dokončovací práce, demolice</t>
  </si>
  <si>
    <t>Izolace</t>
  </si>
  <si>
    <t>Zdravotně technické instalace</t>
  </si>
  <si>
    <t>Ústřední vytápění</t>
  </si>
  <si>
    <t>Elektromontážní práce (silnoproud)</t>
  </si>
  <si>
    <t>Zemní práce</t>
  </si>
  <si>
    <t>Základy, zvláštní zakládání, zpevňování hornin</t>
  </si>
  <si>
    <t>Vodorovné konstrukce</t>
  </si>
  <si>
    <t>Komunikace</t>
  </si>
  <si>
    <t>Trubní vedení</t>
  </si>
  <si>
    <t>T</t>
  </si>
  <si>
    <t>Slepý stavební rozpočet - Jen podskupiny</t>
  </si>
  <si>
    <t>31</t>
  </si>
  <si>
    <t>60</t>
  </si>
  <si>
    <t>61</t>
  </si>
  <si>
    <t>62</t>
  </si>
  <si>
    <t>764</t>
  </si>
  <si>
    <t>767</t>
  </si>
  <si>
    <t>771</t>
  </si>
  <si>
    <t>783</t>
  </si>
  <si>
    <t>786VD</t>
  </si>
  <si>
    <t>94</t>
  </si>
  <si>
    <t>95</t>
  </si>
  <si>
    <t>96</t>
  </si>
  <si>
    <t>97</t>
  </si>
  <si>
    <t>M43</t>
  </si>
  <si>
    <t>S</t>
  </si>
  <si>
    <t>713</t>
  </si>
  <si>
    <t>728</t>
  </si>
  <si>
    <t>762</t>
  </si>
  <si>
    <t>763</t>
  </si>
  <si>
    <t>63</t>
  </si>
  <si>
    <t>711</t>
  </si>
  <si>
    <t>766</t>
  </si>
  <si>
    <t>784</t>
  </si>
  <si>
    <t>H99</t>
  </si>
  <si>
    <t>732</t>
  </si>
  <si>
    <t>733</t>
  </si>
  <si>
    <t>734</t>
  </si>
  <si>
    <t>735</t>
  </si>
  <si>
    <t>OST</t>
  </si>
  <si>
    <t>742</t>
  </si>
  <si>
    <t>M21</t>
  </si>
  <si>
    <t>M46</t>
  </si>
  <si>
    <t>722</t>
  </si>
  <si>
    <t>13</t>
  </si>
  <si>
    <t>27</t>
  </si>
  <si>
    <t>43</t>
  </si>
  <si>
    <t>11</t>
  </si>
  <si>
    <t>12</t>
  </si>
  <si>
    <t>16</t>
  </si>
  <si>
    <t>17</t>
  </si>
  <si>
    <t>18</t>
  </si>
  <si>
    <t>21</t>
  </si>
  <si>
    <t>45</t>
  </si>
  <si>
    <t>56</t>
  </si>
  <si>
    <t>57</t>
  </si>
  <si>
    <t>58</t>
  </si>
  <si>
    <t>59</t>
  </si>
  <si>
    <t>721</t>
  </si>
  <si>
    <t>87</t>
  </si>
  <si>
    <t>89</t>
  </si>
  <si>
    <t>91</t>
  </si>
  <si>
    <t>Zdi podpěrné a volné</t>
  </si>
  <si>
    <t>Omítky ze suchých směsí</t>
  </si>
  <si>
    <t>Úprava povrchů vnitřní</t>
  </si>
  <si>
    <t>Úprava povrchů vnější</t>
  </si>
  <si>
    <t>Konstrukce klempířské</t>
  </si>
  <si>
    <t>Konstrukce doplňkové stavební (zámečnické)</t>
  </si>
  <si>
    <t>Podlahy z dlaždic</t>
  </si>
  <si>
    <t>Nátěry</t>
  </si>
  <si>
    <t>Čalounické úpravy</t>
  </si>
  <si>
    <t>Lešení a stavební výtahy</t>
  </si>
  <si>
    <t>Různé dokončující konstrukce a práce na pozemních stavbách</t>
  </si>
  <si>
    <t>Bourání konstrukcí</t>
  </si>
  <si>
    <t>Prorážení otvorů a ostatní bourací práce</t>
  </si>
  <si>
    <t>Montáže ocelových konstrukcí</t>
  </si>
  <si>
    <t>Přesuny sutí</t>
  </si>
  <si>
    <t>Izolace tepelné</t>
  </si>
  <si>
    <t>Vzduchotechnika</t>
  </si>
  <si>
    <t>Konstrukce tesařské</t>
  </si>
  <si>
    <t>Dřevostavby</t>
  </si>
  <si>
    <t>Podlahy a podlahové konstrukce</t>
  </si>
  <si>
    <t>Izolace proti vodě</t>
  </si>
  <si>
    <t>Konstrukce truhlářské</t>
  </si>
  <si>
    <t>Malby</t>
  </si>
  <si>
    <t>Ostatní přesuny hmot</t>
  </si>
  <si>
    <t>Ústřední vytápění - strojovny</t>
  </si>
  <si>
    <t>Ústřední vytápění - rozvodné potrubí</t>
  </si>
  <si>
    <t>Ústřední vytápění - armatury</t>
  </si>
  <si>
    <t>Ústřední vytápění - otopná tělesa</t>
  </si>
  <si>
    <t>Elektroinstalace - slaboproud</t>
  </si>
  <si>
    <t>Elektromontáže</t>
  </si>
  <si>
    <t>Zemní práce při montážích</t>
  </si>
  <si>
    <t>Vnitřní vodovod</t>
  </si>
  <si>
    <t>Hloubené vykopávky</t>
  </si>
  <si>
    <t>Základy</t>
  </si>
  <si>
    <t>Schodiště</t>
  </si>
  <si>
    <t>Přípravné a přidružené práce</t>
  </si>
  <si>
    <t>Odkopávky a prokopávky</t>
  </si>
  <si>
    <t>Přemístění výkopku</t>
  </si>
  <si>
    <t>Konstrukce ze zemin</t>
  </si>
  <si>
    <t>Povrchové úpravy terénu</t>
  </si>
  <si>
    <t>Úprava podloží a základové spáry</t>
  </si>
  <si>
    <t>Podkladní a vedlejší konstrukce (kromě vozovek a železničního svršku)</t>
  </si>
  <si>
    <t>Podkladní vrstvy komunikací, letišť a ploch</t>
  </si>
  <si>
    <t>Kryty pozemních komunikací, letišť a ploch z kameniva nebo živičné</t>
  </si>
  <si>
    <t>Kryty pozemních komunikací, letišť a ploch z betonu a ostatních hmot</t>
  </si>
  <si>
    <t>Kryty pozemních komunikací, letišť a ploch dlážděných (předlažby)</t>
  </si>
  <si>
    <t>Vnitřní kanalizace</t>
  </si>
  <si>
    <t>Potrubí z trub plastických, skleněných a čedičových</t>
  </si>
  <si>
    <t>Ostatní konstrukce a práce na trubním vedení</t>
  </si>
  <si>
    <t>Doplňující konstrukce a práce na pozemních komunikacích a zpevněných plochách</t>
  </si>
  <si>
    <t>VN a ON Vedlejší a ostatní náklady</t>
  </si>
  <si>
    <t>Slepý stavební rozpočet</t>
  </si>
  <si>
    <t>Č</t>
  </si>
  <si>
    <t>7</t>
  </si>
  <si>
    <t>10</t>
  </si>
  <si>
    <t>14</t>
  </si>
  <si>
    <t>15</t>
  </si>
  <si>
    <t>19</t>
  </si>
  <si>
    <t>20</t>
  </si>
  <si>
    <t>22</t>
  </si>
  <si>
    <t>23</t>
  </si>
  <si>
    <t>24</t>
  </si>
  <si>
    <t>25</t>
  </si>
  <si>
    <t>26</t>
  </si>
  <si>
    <t>28</t>
  </si>
  <si>
    <t>29</t>
  </si>
  <si>
    <t>30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</si>
  <si>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</si>
  <si>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</si>
  <si>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</si>
  <si>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</si>
  <si>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</si>
  <si>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</si>
  <si>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</si>
  <si>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</si>
  <si>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</si>
  <si>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</si>
  <si>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</si>
  <si>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44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</si>
  <si>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</si>
  <si>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</si>
  <si>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</si>
  <si>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</si>
  <si>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</si>
  <si>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</si>
  <si>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</si>
  <si>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</si>
  <si>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</si>
  <si>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</si>
  <si>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64</t>
  </si>
  <si>
    <t>65</t>
  </si>
  <si>
    <t>66</t>
  </si>
  <si>
    <t>67</t>
  </si>
  <si>
    <t>68</t>
  </si>
  <si>
    <t>69</t>
  </si>
  <si>
    <t>70</t>
  </si>
  <si>
    <t>75</t>
  </si>
  <si>
    <t>79</t>
  </si>
  <si>
    <t>80</t>
  </si>
  <si>
    <t>81</t>
  </si>
  <si>
    <t>82</t>
  </si>
  <si>
    <t>83</t>
  </si>
  <si>
    <t>84</t>
  </si>
  <si>
    <t>85</t>
  </si>
  <si>
    <t>86</t>
  </si>
  <si>
    <t>88</t>
  </si>
  <si>
    <t>90</t>
  </si>
  <si>
    <t>92</t>
  </si>
  <si>
    <t>93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</si>
  <si>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</si>
  <si>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</si>
  <si>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</si>
  <si>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</si>
  <si>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</si>
  <si>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</si>
  <si>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</si>
  <si>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</si>
  <si>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</si>
  <si>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</si>
  <si>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</si>
  <si>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</si>
  <si>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</si>
  <si>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</si>
  <si>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</si>
  <si>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</si>
  <si>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</si>
  <si>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</si>
  <si>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</si>
  <si>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</si>
  <si>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</si>
  <si>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</si>
  <si>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</si>
  <si>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</si>
  <si>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</si>
  <si>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</si>
  <si>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</si>
  <si>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</si>
  <si>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</si>
  <si>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</si>
  <si>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</si>
  <si>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</si>
  <si>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</si>
  <si>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</si>
  <si>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</si>
  <si>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</si>
  <si>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</si>
  <si>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</si>
  <si>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</si>
  <si>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</si>
  <si>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</si>
  <si>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</si>
  <si>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</si>
  <si>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</si>
  <si>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</si>
  <si>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</si>
  <si>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</si>
  <si>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</si>
  <si>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</si>
  <si>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</si>
  <si>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</si>
  <si>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</si>
  <si>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</si>
  <si>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</si>
  <si>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</si>
  <si>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</si>
  <si>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</si>
  <si>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</si>
  <si>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</si>
  <si>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</si>
  <si>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</si>
  <si>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</si>
  <si>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</si>
  <si>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</si>
  <si>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</si>
  <si>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</si>
  <si>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</si>
  <si>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</si>
  <si>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</si>
  <si>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</si>
  <si>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</si>
  <si>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</si>
  <si>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</si>
  <si>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</si>
  <si>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</si>
  <si>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</si>
  <si>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</si>
  <si>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</si>
  <si>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</si>
  <si>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</si>
  <si>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</si>
  <si>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</si>
  <si>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</si>
  <si>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</si>
  <si>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</si>
  <si>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</si>
  <si>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</si>
  <si>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</si>
  <si>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</si>
  <si>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</si>
  <si>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</si>
  <si>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</si>
  <si>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</si>
  <si>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</si>
  <si>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</si>
  <si>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</si>
  <si>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</si>
  <si>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</si>
  <si>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</si>
  <si>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</si>
  <si>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</si>
  <si>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</si>
  <si>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</si>
  <si>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</si>
  <si>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</si>
  <si>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</si>
  <si>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</si>
  <si>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</si>
  <si>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</si>
  <si>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</si>
  <si>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</si>
  <si>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</si>
  <si>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</si>
  <si>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</si>
  <si>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</si>
  <si>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</si>
  <si>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</si>
  <si>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</si>
  <si>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</si>
  <si>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</si>
  <si>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</si>
  <si>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</si>
  <si>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</si>
  <si>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</si>
  <si>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</si>
  <si>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</si>
  <si>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</si>
  <si>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</si>
  <si>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</si>
  <si>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</si>
  <si>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</si>
  <si>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</si>
  <si>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</si>
  <si>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</si>
  <si>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</si>
  <si>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</si>
  <si>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</si>
  <si>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</si>
  <si>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</si>
  <si>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</si>
  <si>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</si>
  <si>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</si>
  <si>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</si>
  <si>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</si>
  <si>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</si>
  <si>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</si>
  <si>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</si>
  <si>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</si>
  <si>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</si>
  <si>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</si>
  <si>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</si>
  <si>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</si>
  <si>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</si>
  <si>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</si>
  <si>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</si>
  <si>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</si>
  <si>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</si>
  <si>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</si>
  <si>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</si>
  <si>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</si>
  <si>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</si>
  <si>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</si>
  <si>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</si>
  <si>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</si>
  <si>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</si>
  <si>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</si>
  <si>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</si>
  <si>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</si>
  <si>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</si>
  <si>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</si>
  <si>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</si>
  <si>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</si>
  <si>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</si>
  <si>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</si>
  <si>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</si>
  <si>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</si>
  <si>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</si>
  <si>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</si>
  <si>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</si>
  <si>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</si>
  <si>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</si>
  <si>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</si>
  <si>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</si>
  <si>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</si>
  <si>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</si>
  <si>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</si>
  <si>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</si>
  <si>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</si>
  <si>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</si>
  <si>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</si>
  <si>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</si>
  <si>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</si>
  <si>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</si>
  <si>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</si>
  <si>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</si>
  <si>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</si>
  <si>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</si>
  <si>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</si>
  <si>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</si>
  <si>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</si>
  <si>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</si>
  <si>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</si>
  <si>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</si>
  <si>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</si>
  <si>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</si>
  <si>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</si>
  <si>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</si>
  <si>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</si>
  <si>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</si>
  <si>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</si>
  <si>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</si>
  <si>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</si>
  <si>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</si>
  <si>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</si>
  <si>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</si>
  <si>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</si>
  <si>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</si>
  <si>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</si>
  <si>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</si>
  <si>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</si>
  <si>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</si>
  <si>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</si>
  <si>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</si>
  <si>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</si>
  <si>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</si>
  <si>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</si>
  <si>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</si>
  <si>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</si>
  <si>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</si>
  <si>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</si>
  <si>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</si>
  <si>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</si>
  <si>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</si>
  <si>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</si>
  <si>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</si>
  <si>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</si>
  <si>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</si>
  <si>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</si>
  <si>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</si>
  <si>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</si>
  <si>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</si>
  <si>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</si>
  <si>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</si>
  <si>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</si>
  <si>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</si>
  <si>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</si>
  <si>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</si>
  <si>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</si>
  <si>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</si>
  <si>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</si>
  <si>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</si>
  <si>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</si>
  <si>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</si>
  <si>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</si>
  <si>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</si>
  <si>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</si>
  <si>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</si>
  <si>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</si>
  <si>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</si>
  <si>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</si>
  <si>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</si>
  <si>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</si>
  <si>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</si>
  <si>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</si>
  <si>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</si>
  <si>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</si>
  <si>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</si>
  <si>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</si>
  <si>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</si>
  <si>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</si>
  <si>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</si>
  <si>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</si>
  <si>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</si>
  <si>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</si>
  <si>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</si>
  <si>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</si>
  <si>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</si>
  <si>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</si>
  <si>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</si>
  <si>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</si>
  <si>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</si>
  <si>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</si>
  <si>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</si>
  <si>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</si>
  <si>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</si>
  <si>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</si>
  <si>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</si>
  <si>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</si>
  <si>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</si>
  <si>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</si>
  <si>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</si>
  <si>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</si>
  <si>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</si>
  <si>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</si>
  <si>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</si>
  <si>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</si>
  <si>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</si>
  <si>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</si>
  <si>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</si>
  <si>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</si>
  <si>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</si>
  <si>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</si>
  <si>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</si>
  <si>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</si>
  <si>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</si>
  <si>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</si>
  <si>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</si>
  <si>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</si>
  <si>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</si>
  <si>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</si>
  <si>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</si>
  <si>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</si>
  <si>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</si>
  <si>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</si>
  <si>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</si>
  <si>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</si>
  <si>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</si>
  <si>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</si>
  <si>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</si>
  <si>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</si>
  <si>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</si>
  <si>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</si>
  <si>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</si>
  <si>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</si>
  <si>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</si>
  <si>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</si>
  <si>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</si>
  <si>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</si>
  <si>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</si>
  <si>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</si>
  <si>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</si>
  <si>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</si>
  <si>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</si>
  <si>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</si>
  <si>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</si>
  <si>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</si>
  <si>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</si>
  <si>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</si>
  <si>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</si>
  <si>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</si>
  <si>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</si>
  <si>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</si>
  <si>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</si>
  <si>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</si>
  <si>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</si>
  <si>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</si>
  <si>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</si>
  <si>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</si>
  <si>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</si>
  <si>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</si>
  <si>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</si>
  <si>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</si>
  <si>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</si>
  <si>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</si>
  <si>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</si>
  <si>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</si>
  <si>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</si>
  <si>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</si>
  <si>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</si>
  <si>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</si>
  <si>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</si>
  <si>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</si>
  <si>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</si>
  <si>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</si>
  <si>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</si>
  <si>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</si>
  <si>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</si>
  <si>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</si>
  <si>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</si>
  <si>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</si>
  <si>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</si>
  <si>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</si>
  <si>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</si>
  <si>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</si>
  <si>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</si>
  <si>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</si>
  <si>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</si>
  <si>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</si>
  <si>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</si>
  <si>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</si>
  <si>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</si>
  <si>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</si>
  <si>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</si>
  <si>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</si>
  <si>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</si>
  <si>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</si>
  <si>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</si>
  <si>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</si>
  <si>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</si>
  <si>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</si>
  <si>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</si>
  <si>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</si>
  <si>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</si>
  <si>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</si>
  <si>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</si>
  <si>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</si>
  <si>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</si>
  <si>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</si>
  <si>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</si>
  <si>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</si>
  <si>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</si>
  <si>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</si>
  <si>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</si>
  <si>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</si>
  <si>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</si>
  <si>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</si>
  <si>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</si>
  <si>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</si>
  <si>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</si>
  <si>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</si>
  <si>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</si>
  <si>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</si>
  <si>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</si>
  <si>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</si>
  <si>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</si>
  <si>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</si>
  <si>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</si>
  <si>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</si>
  <si>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</si>
  <si>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</si>
  <si>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</si>
  <si>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</si>
  <si>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</si>
  <si>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</si>
  <si>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</si>
  <si>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</si>
  <si>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</si>
  <si>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</si>
  <si>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</si>
  <si>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</si>
  <si>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</si>
  <si>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</si>
  <si>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</si>
  <si>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</si>
  <si>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</si>
  <si>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</si>
  <si>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</si>
  <si>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</si>
  <si>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310236241R</t>
  </si>
  <si>
    <t>Varianta:</t>
  </si>
  <si>
    <t>310236251R</t>
  </si>
  <si>
    <t>602011112R</t>
  </si>
  <si>
    <t>612421637R</t>
  </si>
  <si>
    <t>620991121R</t>
  </si>
  <si>
    <t>622300131R</t>
  </si>
  <si>
    <t>622300152R</t>
  </si>
  <si>
    <t>283502862</t>
  </si>
  <si>
    <t>283502863</t>
  </si>
  <si>
    <t>622300172R</t>
  </si>
  <si>
    <t>622300175R</t>
  </si>
  <si>
    <t>622300176R</t>
  </si>
  <si>
    <t>622300153R</t>
  </si>
  <si>
    <t>283502814</t>
  </si>
  <si>
    <t>622323335R</t>
  </si>
  <si>
    <t>622323353R</t>
  </si>
  <si>
    <t>622323363R</t>
  </si>
  <si>
    <t>LIK0001IMV</t>
  </si>
  <si>
    <t>622323735R</t>
  </si>
  <si>
    <t>622323753R</t>
  </si>
  <si>
    <t>622904212R</t>
  </si>
  <si>
    <t>764430240R</t>
  </si>
  <si>
    <t>764430850R</t>
  </si>
  <si>
    <t>764410850R</t>
  </si>
  <si>
    <t>764908307R</t>
  </si>
  <si>
    <t>764908308R</t>
  </si>
  <si>
    <t>764908309R</t>
  </si>
  <si>
    <t>998764101R</t>
  </si>
  <si>
    <t>767165110R</t>
  </si>
  <si>
    <t>UB001</t>
  </si>
  <si>
    <t>UB002</t>
  </si>
  <si>
    <t>767221110R</t>
  </si>
  <si>
    <t>Demontáž v</t>
  </si>
  <si>
    <t>767811100R</t>
  </si>
  <si>
    <t>alu250/1</t>
  </si>
  <si>
    <t>alu300/150</t>
  </si>
  <si>
    <t>alu600/150</t>
  </si>
  <si>
    <t>or. cena</t>
  </si>
  <si>
    <t>767662110R</t>
  </si>
  <si>
    <t>767662210R</t>
  </si>
  <si>
    <t>767999801R</t>
  </si>
  <si>
    <t>998767101R</t>
  </si>
  <si>
    <t>771111131R</t>
  </si>
  <si>
    <t>24747225</t>
  </si>
  <si>
    <t>771475014R</t>
  </si>
  <si>
    <t>597642030</t>
  </si>
  <si>
    <t>771479001R</t>
  </si>
  <si>
    <t>998771101R</t>
  </si>
  <si>
    <t>783222120R</t>
  </si>
  <si>
    <t>ISO0001IMV</t>
  </si>
  <si>
    <t>ISO0006IMV</t>
  </si>
  <si>
    <t>ISO0002IMV</t>
  </si>
  <si>
    <t>ISO0003IMV</t>
  </si>
  <si>
    <t>ISO0004IMV</t>
  </si>
  <si>
    <t>ISO0005IMV</t>
  </si>
  <si>
    <t>998786101R</t>
  </si>
  <si>
    <t>941941031R</t>
  </si>
  <si>
    <t>941941191R</t>
  </si>
  <si>
    <t>941941831R</t>
  </si>
  <si>
    <t>944944013R</t>
  </si>
  <si>
    <t>944944033R</t>
  </si>
  <si>
    <t>944944083R</t>
  </si>
  <si>
    <t>999281105R</t>
  </si>
  <si>
    <t>or.cena</t>
  </si>
  <si>
    <t>962031113R</t>
  </si>
  <si>
    <t>965081702R</t>
  </si>
  <si>
    <t>971033341R</t>
  </si>
  <si>
    <t>978036121R</t>
  </si>
  <si>
    <t>430861002R</t>
  </si>
  <si>
    <t>28318221</t>
  </si>
  <si>
    <t>979081111R</t>
  </si>
  <si>
    <t>979081121R</t>
  </si>
  <si>
    <t>979082111R</t>
  </si>
  <si>
    <t>979082121R</t>
  </si>
  <si>
    <t>979990001R</t>
  </si>
  <si>
    <t>979990111R</t>
  </si>
  <si>
    <t>764322830R</t>
  </si>
  <si>
    <t>764351836R</t>
  </si>
  <si>
    <t>764352810R</t>
  </si>
  <si>
    <t>764365220R</t>
  </si>
  <si>
    <t>764454801R</t>
  </si>
  <si>
    <t>764456852R</t>
  </si>
  <si>
    <t>764908102R</t>
  </si>
  <si>
    <t>764908105R</t>
  </si>
  <si>
    <t>764908109R</t>
  </si>
  <si>
    <t>764918222R</t>
  </si>
  <si>
    <t>553507335</t>
  </si>
  <si>
    <t>952902110R</t>
  </si>
  <si>
    <t>979990144R</t>
  </si>
  <si>
    <t>979990161R</t>
  </si>
  <si>
    <t>713101121R</t>
  </si>
  <si>
    <t>713182241R</t>
  </si>
  <si>
    <t>998713101R</t>
  </si>
  <si>
    <t>728618211R</t>
  </si>
  <si>
    <t>998728101R</t>
  </si>
  <si>
    <t>762341210R</t>
  </si>
  <si>
    <t>762341921R</t>
  </si>
  <si>
    <t>762343931R</t>
  </si>
  <si>
    <t>762512125R</t>
  </si>
  <si>
    <t>607250361</t>
  </si>
  <si>
    <t>998762102R</t>
  </si>
  <si>
    <t>763752112R</t>
  </si>
  <si>
    <t>763761201R</t>
  </si>
  <si>
    <t>998763101R</t>
  </si>
  <si>
    <t>311238144R</t>
  </si>
  <si>
    <t>612409991R</t>
  </si>
  <si>
    <t>612425931R</t>
  </si>
  <si>
    <t>624401111R</t>
  </si>
  <si>
    <t>767616101R</t>
  </si>
  <si>
    <t>767616111R</t>
  </si>
  <si>
    <t>NAB0007IMV</t>
  </si>
  <si>
    <t>767649191R</t>
  </si>
  <si>
    <t>107935</t>
  </si>
  <si>
    <t>68221</t>
  </si>
  <si>
    <t>69780</t>
  </si>
  <si>
    <t>71924</t>
  </si>
  <si>
    <t>952901111R</t>
  </si>
  <si>
    <t>965042121R</t>
  </si>
  <si>
    <t>968061112R</t>
  </si>
  <si>
    <t>968061113R</t>
  </si>
  <si>
    <t>968061125R</t>
  </si>
  <si>
    <t>968062244R</t>
  </si>
  <si>
    <t>968062245R</t>
  </si>
  <si>
    <t>968062246R</t>
  </si>
  <si>
    <t>968062456R</t>
  </si>
  <si>
    <t>968071125R</t>
  </si>
  <si>
    <t>968072456R</t>
  </si>
  <si>
    <t>968095001R</t>
  </si>
  <si>
    <t>968095002R</t>
  </si>
  <si>
    <t>979990162R</t>
  </si>
  <si>
    <t>632451021R</t>
  </si>
  <si>
    <t>711111001R</t>
  </si>
  <si>
    <t>711141559R</t>
  </si>
  <si>
    <t>711199095R</t>
  </si>
  <si>
    <t>711199097R</t>
  </si>
  <si>
    <t>998711101R</t>
  </si>
  <si>
    <t>766601213R</t>
  </si>
  <si>
    <t>766629301R</t>
  </si>
  <si>
    <t>NAB0001IMV</t>
  </si>
  <si>
    <t>NAB0002IMV</t>
  </si>
  <si>
    <t>NAB0006IMV</t>
  </si>
  <si>
    <t>NAB0011IMV</t>
  </si>
  <si>
    <t>NAB0012IMV</t>
  </si>
  <si>
    <t>766629302R</t>
  </si>
  <si>
    <t>NAB0008IMV</t>
  </si>
  <si>
    <t>NAB0009IMV</t>
  </si>
  <si>
    <t>NAB0010IMV</t>
  </si>
  <si>
    <t>766629303R</t>
  </si>
  <si>
    <t>NAB0003IMV</t>
  </si>
  <si>
    <t>NAB0005IMV</t>
  </si>
  <si>
    <t>766629304R</t>
  </si>
  <si>
    <t>NAB0004IMV</t>
  </si>
  <si>
    <t>766694111R</t>
  </si>
  <si>
    <t>60775430</t>
  </si>
  <si>
    <t>60775431</t>
  </si>
  <si>
    <t>60775432</t>
  </si>
  <si>
    <t>60775451</t>
  </si>
  <si>
    <t>766694112R</t>
  </si>
  <si>
    <t>766694113R</t>
  </si>
  <si>
    <t>766694114R</t>
  </si>
  <si>
    <t>60775459</t>
  </si>
  <si>
    <t>766699612R</t>
  </si>
  <si>
    <t>998766101R</t>
  </si>
  <si>
    <t>784011221R</t>
  </si>
  <si>
    <t>784011222R</t>
  </si>
  <si>
    <t>784442001R</t>
  </si>
  <si>
    <t>732000001R</t>
  </si>
  <si>
    <t>732420812</t>
  </si>
  <si>
    <t>732890801</t>
  </si>
  <si>
    <t>733120819R</t>
  </si>
  <si>
    <t>733890801</t>
  </si>
  <si>
    <t>734200813</t>
  </si>
  <si>
    <t>734200821</t>
  </si>
  <si>
    <t>734200822R</t>
  </si>
  <si>
    <t>734200824</t>
  </si>
  <si>
    <t>734290813R</t>
  </si>
  <si>
    <t>734890801</t>
  </si>
  <si>
    <t>735494811R</t>
  </si>
  <si>
    <t>R001</t>
  </si>
  <si>
    <t>733190107</t>
  </si>
  <si>
    <t>733191922R</t>
  </si>
  <si>
    <t>733191923R</t>
  </si>
  <si>
    <t>998733201</t>
  </si>
  <si>
    <t>734001R</t>
  </si>
  <si>
    <t>734209105R</t>
  </si>
  <si>
    <t>55128134R</t>
  </si>
  <si>
    <t>55128124R</t>
  </si>
  <si>
    <t>55128122R</t>
  </si>
  <si>
    <t>734209112</t>
  </si>
  <si>
    <t>55121230R</t>
  </si>
  <si>
    <t>55121213R</t>
  </si>
  <si>
    <t>734209113</t>
  </si>
  <si>
    <t>55121231R</t>
  </si>
  <si>
    <t>734290914R</t>
  </si>
  <si>
    <t>998734201</t>
  </si>
  <si>
    <t>735000912</t>
  </si>
  <si>
    <t>735191905</t>
  </si>
  <si>
    <t>735191910</t>
  </si>
  <si>
    <t>998735201</t>
  </si>
  <si>
    <t>D001</t>
  </si>
  <si>
    <t>R002</t>
  </si>
  <si>
    <t>783614651</t>
  </si>
  <si>
    <t>783614653</t>
  </si>
  <si>
    <t>713463211</t>
  </si>
  <si>
    <t>63154532</t>
  </si>
  <si>
    <t>63154533</t>
  </si>
  <si>
    <t>998713201</t>
  </si>
  <si>
    <t>732429215</t>
  </si>
  <si>
    <t>42611344R</t>
  </si>
  <si>
    <t>998732201</t>
  </si>
  <si>
    <t>733111116</t>
  </si>
  <si>
    <t>733111117</t>
  </si>
  <si>
    <t>733124115R</t>
  </si>
  <si>
    <t>733124117R</t>
  </si>
  <si>
    <t>733191927R</t>
  </si>
  <si>
    <t>734209115R</t>
  </si>
  <si>
    <t>S73402501</t>
  </si>
  <si>
    <t>734209116</t>
  </si>
  <si>
    <t>S73403201</t>
  </si>
  <si>
    <t>734209117</t>
  </si>
  <si>
    <t>S73404001</t>
  </si>
  <si>
    <t>734242416R</t>
  </si>
  <si>
    <t>734291124R</t>
  </si>
  <si>
    <t>734421101R</t>
  </si>
  <si>
    <t>734424101</t>
  </si>
  <si>
    <t>734494111</t>
  </si>
  <si>
    <t>734494213R</t>
  </si>
  <si>
    <t>742121001R</t>
  </si>
  <si>
    <t>742121002R</t>
  </si>
  <si>
    <t>742121003R</t>
  </si>
  <si>
    <t>998742201</t>
  </si>
  <si>
    <t>210220301R00</t>
  </si>
  <si>
    <t>210220002R00</t>
  </si>
  <si>
    <t>R</t>
  </si>
  <si>
    <t>210 290042.R01</t>
  </si>
  <si>
    <t>35441025</t>
  </si>
  <si>
    <t>35441540R</t>
  </si>
  <si>
    <t>35441885</t>
  </si>
  <si>
    <t>210220002RT1</t>
  </si>
  <si>
    <t>460 200154.R00</t>
  </si>
  <si>
    <t>460 570154.R00</t>
  </si>
  <si>
    <t>460 080101.RT1</t>
  </si>
  <si>
    <t>111 301111.R00</t>
  </si>
  <si>
    <t>174 101101.R00</t>
  </si>
  <si>
    <t>210 010102.R00</t>
  </si>
  <si>
    <t>210 010453.R00</t>
  </si>
  <si>
    <t>210 810045.R00</t>
  </si>
  <si>
    <t>210201001R00</t>
  </si>
  <si>
    <t>210201054R00</t>
  </si>
  <si>
    <t>34572109</t>
  </si>
  <si>
    <t>34571428</t>
  </si>
  <si>
    <t>34111030</t>
  </si>
  <si>
    <t>34111000</t>
  </si>
  <si>
    <t>460 680021.RT1</t>
  </si>
  <si>
    <t>460 680022.RT1</t>
  </si>
  <si>
    <t>210 810046.R00</t>
  </si>
  <si>
    <t>210 810055.R00</t>
  </si>
  <si>
    <t>210 850024.R00</t>
  </si>
  <si>
    <t>210 100258.R00</t>
  </si>
  <si>
    <t>210100001R00</t>
  </si>
  <si>
    <t>34111038</t>
  </si>
  <si>
    <t>34111090</t>
  </si>
  <si>
    <t>722220851R</t>
  </si>
  <si>
    <t>722229101R</t>
  </si>
  <si>
    <t>1329012IMV</t>
  </si>
  <si>
    <t>998722101R</t>
  </si>
  <si>
    <t>771275511R</t>
  </si>
  <si>
    <t>771275521R</t>
  </si>
  <si>
    <t>771577131R</t>
  </si>
  <si>
    <t>771577925R</t>
  </si>
  <si>
    <t>771775109R</t>
  </si>
  <si>
    <t>961044111R</t>
  </si>
  <si>
    <t>965042141R</t>
  </si>
  <si>
    <t>965049111R</t>
  </si>
  <si>
    <t>965081713R</t>
  </si>
  <si>
    <t>965082933R</t>
  </si>
  <si>
    <t>979990103R</t>
  </si>
  <si>
    <t>711401111R</t>
  </si>
  <si>
    <t>711401112R</t>
  </si>
  <si>
    <t>711401114R</t>
  </si>
  <si>
    <t>711401115R</t>
  </si>
  <si>
    <t>131301110R</t>
  </si>
  <si>
    <t>273313611R</t>
  </si>
  <si>
    <t>273351215R</t>
  </si>
  <si>
    <t>273351216R</t>
  </si>
  <si>
    <t>430321314R</t>
  </si>
  <si>
    <t>430361921R</t>
  </si>
  <si>
    <t>434351141R</t>
  </si>
  <si>
    <t>434351142R</t>
  </si>
  <si>
    <t>764311291R</t>
  </si>
  <si>
    <t>13851212</t>
  </si>
  <si>
    <t>764311822R</t>
  </si>
  <si>
    <t>783592000R</t>
  </si>
  <si>
    <t>783711101R</t>
  </si>
  <si>
    <t>783782422R</t>
  </si>
  <si>
    <t>783903812R</t>
  </si>
  <si>
    <t>783904811R</t>
  </si>
  <si>
    <t>622323120R</t>
  </si>
  <si>
    <t>622903111R</t>
  </si>
  <si>
    <t>62833159</t>
  </si>
  <si>
    <t>963042819R</t>
  </si>
  <si>
    <t>979024441R</t>
  </si>
  <si>
    <t>979054441R</t>
  </si>
  <si>
    <t>713131131R</t>
  </si>
  <si>
    <t>283763981</t>
  </si>
  <si>
    <t>283763984</t>
  </si>
  <si>
    <t>283763985</t>
  </si>
  <si>
    <t>711112001R</t>
  </si>
  <si>
    <t>11163111</t>
  </si>
  <si>
    <t>711132311R</t>
  </si>
  <si>
    <t>711142559R</t>
  </si>
  <si>
    <t>711747067R</t>
  </si>
  <si>
    <t>55162530</t>
  </si>
  <si>
    <t>55162531</t>
  </si>
  <si>
    <t>132301110R</t>
  </si>
  <si>
    <t>132301119R</t>
  </si>
  <si>
    <t>132301210R</t>
  </si>
  <si>
    <t>132301219R</t>
  </si>
  <si>
    <t>113106121R</t>
  </si>
  <si>
    <t>113107305R</t>
  </si>
  <si>
    <t>113107515R</t>
  </si>
  <si>
    <t>113107520R</t>
  </si>
  <si>
    <t>113108310R</t>
  </si>
  <si>
    <t>113109310R</t>
  </si>
  <si>
    <t>113204111R</t>
  </si>
  <si>
    <t>119001401R</t>
  </si>
  <si>
    <t>119001411R</t>
  </si>
  <si>
    <t>119001421R</t>
  </si>
  <si>
    <t>121101101R</t>
  </si>
  <si>
    <t>162201201R</t>
  </si>
  <si>
    <t>162701105R</t>
  </si>
  <si>
    <t>162702199R</t>
  </si>
  <si>
    <t>167101101R</t>
  </si>
  <si>
    <t>167101103R</t>
  </si>
  <si>
    <t>174101101R</t>
  </si>
  <si>
    <t>175101101R</t>
  </si>
  <si>
    <t>58337304</t>
  </si>
  <si>
    <t>175101201R</t>
  </si>
  <si>
    <t>583418024</t>
  </si>
  <si>
    <t>180402111R</t>
  </si>
  <si>
    <t>00572410</t>
  </si>
  <si>
    <t>181301102R</t>
  </si>
  <si>
    <t>212753116R</t>
  </si>
  <si>
    <t>28611225.A</t>
  </si>
  <si>
    <t>213151121R</t>
  </si>
  <si>
    <t>69366198</t>
  </si>
  <si>
    <t>451572111R</t>
  </si>
  <si>
    <t>451579777R</t>
  </si>
  <si>
    <t>452312131R</t>
  </si>
  <si>
    <t>561121111R</t>
  </si>
  <si>
    <t>561121112R</t>
  </si>
  <si>
    <t>564113506R</t>
  </si>
  <si>
    <t>577131211R</t>
  </si>
  <si>
    <t>581114111R</t>
  </si>
  <si>
    <t>596215020R</t>
  </si>
  <si>
    <t>592451124</t>
  </si>
  <si>
    <t>596291111R</t>
  </si>
  <si>
    <t>596811111R</t>
  </si>
  <si>
    <t>592453333</t>
  </si>
  <si>
    <t>721242803R</t>
  </si>
  <si>
    <t>721242110R</t>
  </si>
  <si>
    <t>998721101R</t>
  </si>
  <si>
    <t>877313123R</t>
  </si>
  <si>
    <t>871311111R</t>
  </si>
  <si>
    <t>28611152.A</t>
  </si>
  <si>
    <t>28651662.A</t>
  </si>
  <si>
    <t>877375121R</t>
  </si>
  <si>
    <t>894432111R</t>
  </si>
  <si>
    <t>28655991</t>
  </si>
  <si>
    <t>286971400</t>
  </si>
  <si>
    <t>28697147</t>
  </si>
  <si>
    <t>50711200</t>
  </si>
  <si>
    <t>50780200</t>
  </si>
  <si>
    <t>899101111R</t>
  </si>
  <si>
    <t>27311361</t>
  </si>
  <si>
    <t>28697076.A</t>
  </si>
  <si>
    <t>916561111R</t>
  </si>
  <si>
    <t>919735113R</t>
  </si>
  <si>
    <t>004111010R</t>
  </si>
  <si>
    <t>005111021R</t>
  </si>
  <si>
    <t>005121011R</t>
  </si>
  <si>
    <t>005121021R</t>
  </si>
  <si>
    <t>005121031R</t>
  </si>
  <si>
    <t>005211010R</t>
  </si>
  <si>
    <t>005211030R</t>
  </si>
  <si>
    <t>005211080R</t>
  </si>
  <si>
    <t>005281010R</t>
  </si>
  <si>
    <t>Snížení energetické náročnosti MŠ Hrabinská Český Těšín</t>
  </si>
  <si>
    <t>Energetické úspory</t>
  </si>
  <si>
    <t>Hrabinská 1016/51, Český Těšín</t>
  </si>
  <si>
    <t>Zkrácený popis / Varianta</t>
  </si>
  <si>
    <t>Rozměry</t>
  </si>
  <si>
    <t>Zazdívka otvorů pl. 0,09 m2 cihlami, tl. zdi 30 cm</t>
  </si>
  <si>
    <t>s použitím suché maltové směsi</t>
  </si>
  <si>
    <t>Zazdívka otvorů pl.0, 09 m2 cihlami, tl. zdi 45 cm</t>
  </si>
  <si>
    <t>Omítka jádrová, ručně</t>
  </si>
  <si>
    <t>tloušťka vrstvy 10 mm</t>
  </si>
  <si>
    <t>Omítka vnitřní zdiva, MVC, štuková</t>
  </si>
  <si>
    <t>Zakrývání výplní vnějších otvorů z lešení</t>
  </si>
  <si>
    <t>Vyrovnávací tmel tl. do 5 mm</t>
  </si>
  <si>
    <t>Montáž dilatační lišty</t>
  </si>
  <si>
    <t>SK PVC dilatační lišta průběžná s tkaninou</t>
  </si>
  <si>
    <t>SK PVC dilatační lišta rohová s tkaninou</t>
  </si>
  <si>
    <t>Těsnění napojovacích spár tmelem</t>
  </si>
  <si>
    <t>včetně dodávky tmelu FT 101</t>
  </si>
  <si>
    <t>Montáž elekroinstalační krabice PVC do zateplení</t>
  </si>
  <si>
    <t>včetně dodávky krabice 120x120x200 mm</t>
  </si>
  <si>
    <t>včetně dodávky krabice 100x230x250 mm</t>
  </si>
  <si>
    <t>Osazení montážní desky PVC do zateplení</t>
  </si>
  <si>
    <t>včetně dodávky desky 120x120x200 mm</t>
  </si>
  <si>
    <t>Montáž okapního soklového profilu</t>
  </si>
  <si>
    <t>LW66-2 přechodová lišta, délka 2 m</t>
  </si>
  <si>
    <t>Zateplovací syst.,fasáda, EPS šedý,tl.160 mm</t>
  </si>
  <si>
    <t>s omítkou silikonovou SIF20</t>
  </si>
  <si>
    <t>Zatepl.systém, ostění, EPS šedý tl. 30 mm</t>
  </si>
  <si>
    <t>Zatepl.systém, parapet, EPS šedý tl. 30 mm</t>
  </si>
  <si>
    <t>LX-H lišta parapetní napojovací flexibilní s nepřiznanou okapnicí a tkaninou pro dilatující napojení omítky na ohýbaný parapet</t>
  </si>
  <si>
    <t>Zatepl.syst., fasáda, miner.desky KV 160 mm</t>
  </si>
  <si>
    <t>Zatepl.systém, ostění, miner.desky KV 30 mm</t>
  </si>
  <si>
    <t>Očištění organických nečiistot z fasád slož.1-2</t>
  </si>
  <si>
    <t>Oplechování zdí z Pz plechu, rš 500 mm</t>
  </si>
  <si>
    <t>Demontáž oplechování zdí,rš 600 mm</t>
  </si>
  <si>
    <t>Demontáž oplechování parapetů,rš od 100 do 330 mm</t>
  </si>
  <si>
    <t>oplechování parapetů plech tl. 0,6 mm s povrchovou úpravou PE, rš 330 mm, enkolit</t>
  </si>
  <si>
    <t>plech FOP/PO tl.0,6 mm</t>
  </si>
  <si>
    <t>oplechování parapetů plech tl. 0,6 mm s povrchovou úpravou PE, rš 400 mm, enkolit</t>
  </si>
  <si>
    <t>oplechování parapetů plech tl. 0,6 mm s povrchovou úpravou PE, rš 500 mm, enkolit</t>
  </si>
  <si>
    <t>Přesun hmot pro klempířské konstr., výšky do 6 m</t>
  </si>
  <si>
    <t>Montáž madel z trubek zábr. rovného - šroubováním</t>
  </si>
  <si>
    <t>Madlo schodiště nerez EB1-TR42, 0,8m vč. příslušenství</t>
  </si>
  <si>
    <t>Madlo schodiště nerez EB1-TR42, 1,4m vč. příslušenství</t>
  </si>
  <si>
    <t>Demontáž zábradlí schod.z trubek, do zdiva, do 15 kg</t>
  </si>
  <si>
    <t>Montáž větracích mřížek, typ VM</t>
  </si>
  <si>
    <t>Ventilační potrubí ALU průměr 250 mm trubka flexi</t>
  </si>
  <si>
    <t>VĚTRACÍ MŘÍŽKA Z VYSOCE KVALITNÍHO EXTRUDOVANÉHO HLINÍKU - 300X150 MM, BÍLÁ</t>
  </si>
  <si>
    <t>VĚTRACÍ MŘÍŽKA Z VYSOCE KVALITNÍHO EXTRUDOVANÉHO HLINÍKU - 600X150 MM, BÍLÁ</t>
  </si>
  <si>
    <t>Demontáž mříží</t>
  </si>
  <si>
    <t>Montáž mříží pevných - šroubováním</t>
  </si>
  <si>
    <t>Montáž mříží otvíravých</t>
  </si>
  <si>
    <t>Úprava mříží</t>
  </si>
  <si>
    <t>Úprava zastřešení u kuchyně</t>
  </si>
  <si>
    <t>Úprava skříní na fasádě objektu</t>
  </si>
  <si>
    <t>Demontáž doplňků staveb o hmotnosti do 50 kg</t>
  </si>
  <si>
    <t>Přesun hmot pro zámečnické konstr., výšky do 6 m</t>
  </si>
  <si>
    <t>Vyplnění dilatačních spár tmelem, dlažba</t>
  </si>
  <si>
    <t>Lepidlo stavební MS Polymer 290 ml</t>
  </si>
  <si>
    <t>Obklad soklíků keram.rovných, tmel,výška 10 cm</t>
  </si>
  <si>
    <t>Dlažba keramická mrazuvzdorná matná 300x300x9 mm R11</t>
  </si>
  <si>
    <t>Řezání dlaždic keramických pro soklíky</t>
  </si>
  <si>
    <t>Přesun hmot pro podlahy z dlaždic, výšky do 6 m</t>
  </si>
  <si>
    <t>Nátěr syntetický kov.konstrukcí 2x</t>
  </si>
  <si>
    <t>MTZ venkovní žaluzie C 80 flexi, ovl. motorem, vodící lišty, MTZ do špalety na rám okna, krycí schránka přiznaná, rozměr 3000/2350, barva RAL9007</t>
  </si>
  <si>
    <t>Elektronický ovladač pro lokální / místní a centrální ovládání venkovních žaluzií s dotykovým ovládáním.</t>
  </si>
  <si>
    <t>MTZ venkovní žaluzie C 80 flexi, ovl. motorem, vodící lišty, MTZ do špalety na rám okna, krycí schránka přiznaná, rozměr 1500/2350, barva RAL9007</t>
  </si>
  <si>
    <t>MTZ venkovní žaluzie C 80 flexi, ovl. motorem, vodící lišty, MTZ do špalety na rám okna, krycí schránka přiznaná, rozměr 1500/2950, barva RAL9007</t>
  </si>
  <si>
    <t>MTZ venkovní žaluzie C 80 flexi, ovl. motorem, vodící lišty, MTZ do špalety na rám okna, krycí schránka přiznaná, rozměr 1800/1500, barva RAL9007</t>
  </si>
  <si>
    <t>MTZ venkovní žaluzie C 80 flexi, ovl. motorem, vodící lišty, MTZ do špalety na rám okna, krycí schránka přiznaná, rozměr 1800/1450, barva RAL9007</t>
  </si>
  <si>
    <t>Přesun hmot pro zastiň. techniku, výšky do 6 m</t>
  </si>
  <si>
    <t>Montáž lešení leh.řad.s podlahami,š.do 1 m, H 10 m</t>
  </si>
  <si>
    <t>Příplatek za každý měsíc použití lešení k pol.1031</t>
  </si>
  <si>
    <t>lešení rámové vlastní</t>
  </si>
  <si>
    <t>Demontáž lešení leh.řad.s podlahami,š.1 m, H 10 m</t>
  </si>
  <si>
    <t>Montáž ochr.sítě z umělých vláken - stínění do 70%</t>
  </si>
  <si>
    <t>Příplatek za každý měsíc použití sítí k pol. 4013</t>
  </si>
  <si>
    <t>Demontáž ochr.sítě z umělých vláken,stínění do 70%</t>
  </si>
  <si>
    <t>Přesun hmot pro opravy a údržbu do výšky 6 m</t>
  </si>
  <si>
    <t>Demontáž a montáž orientačních tabulek</t>
  </si>
  <si>
    <t>Bourání příček z cihel pálených plných tl. 65 mm</t>
  </si>
  <si>
    <t>Bourání soklíků z dlažeb keramických</t>
  </si>
  <si>
    <t>Vybourání otv. zeď cihel. pl.0,09 m2, tl.30cm, MVC</t>
  </si>
  <si>
    <t>Otlučení omítek břízolitových v rozsahu 10 %</t>
  </si>
  <si>
    <t>Demontáž stříšky kuchyně</t>
  </si>
  <si>
    <t>Křivka cenová první, hmotnost do 500 kg, zpětná montáž stříšky kuchyně</t>
  </si>
  <si>
    <t>Deska polykarb. komůrková 10x2100x6000 bron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</si>
  <si>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</si>
  <si>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</si>
  <si>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</si>
  <si>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</si>
  <si>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Poplatek za skládku stavební suti</t>
  </si>
  <si>
    <t>Poplatek za skládku suti - stavební keramika</t>
  </si>
  <si>
    <t>Demontáž oplechování okapů, TK, rš 400 mm, do 30°</t>
  </si>
  <si>
    <t>Demontáž háků, sklon do 30°</t>
  </si>
  <si>
    <t>Demontáž žlabů půlkruh. rovných, rš 330 mm, do 30°</t>
  </si>
  <si>
    <t>Poklop střešní poplastovaný plech, hladká krytina, 60 x 60cm</t>
  </si>
  <si>
    <t>Demontáž odpadních trub kruhových,D 75 a 100 mm</t>
  </si>
  <si>
    <t>Demontáž kolen výtokových.kruhových,D 100 mm</t>
  </si>
  <si>
    <t>Kotlík žlabový kónický SOK,vel.žlabu 150 mm</t>
  </si>
  <si>
    <t>Žlab podokapní půlkruhový R,velikost 150 mm</t>
  </si>
  <si>
    <t>Odpadní trouby kruhové SROR, D 100 mm</t>
  </si>
  <si>
    <t>Z+M.oplech.okapů lak.plech. na šikmé střeše rš 330</t>
  </si>
  <si>
    <t>Plech okapový rš 250 PE</t>
  </si>
  <si>
    <t>Čištění zametáním v místnostech a chodbách</t>
  </si>
  <si>
    <t>Poplatek za skládku suti - minerální vata</t>
  </si>
  <si>
    <t>Poplatek za skládku suti - dřevo</t>
  </si>
  <si>
    <t>Odstr.tep.izol.stropů,volně,minerál tl.do 100 mm</t>
  </si>
  <si>
    <t>Izolace celulózová foukaná volně</t>
  </si>
  <si>
    <t>Přesun hmot pro izolace tepelné, výšky do 6 m</t>
  </si>
  <si>
    <t>Ventilační turbína, Al hlavice, velikost 12"</t>
  </si>
  <si>
    <t>Přesun hmot pro vzduchotechniku, výšky do 6 m</t>
  </si>
  <si>
    <t>Montáž bednění střech rovných, prkna hrubá na sraz</t>
  </si>
  <si>
    <t>včetně dodávky řeziva, prkna tl. 24 mm</t>
  </si>
  <si>
    <t>Vyřezání otvorů střech, v bednění pl. do 1 m2</t>
  </si>
  <si>
    <t>Zabednění otvorů střech prkny plochy do 1 m2</t>
  </si>
  <si>
    <t>prkna tl.24 mm</t>
  </si>
  <si>
    <t>Položení podlah. desek ve dvou vrstvách šroubovan.</t>
  </si>
  <si>
    <t>Deska dřevoštěpková OSB ECO 3 N tl. 25 mm</t>
  </si>
  <si>
    <t>Přesun hmot pro tesařské konstrukce, výšky do 12 m</t>
  </si>
  <si>
    <t>Montáž podlah - rámů, polštářů, pl. do 150 cm2</t>
  </si>
  <si>
    <t>Montáž otvorových výplní - dvířek, poklopů</t>
  </si>
  <si>
    <t>Přesun hmot pro dřevostavby, výšky do 12 m</t>
  </si>
  <si>
    <t>Zdivo z keramických tvarovek P10, tl. 300 mm</t>
  </si>
  <si>
    <t>Začištění omítek kolem oken,dveří apod.</t>
  </si>
  <si>
    <t>Omítka vápenná vnitřního ostění - štuková</t>
  </si>
  <si>
    <t>Vyspravení poškoz. hran spár maltou MVC s disperzí</t>
  </si>
  <si>
    <t>Montáž osazovacích rámů oken z Al - profilů</t>
  </si>
  <si>
    <t>Montáž oken z Al - profilů</t>
  </si>
  <si>
    <t>HLINÍKOVÉ DVEŘE, DVOUKŘÍDLÉ S NADSVĚTLÍKEM, OTEVÍRAVÉ, NADSVĚTLÍK FIX, MAX. Ud = 0,96 W/m2K, 1800x2950, IZOLAČNÍ TROJSKLO ČIRÉ Ug= 0,5 W/m2K, poz. 6</t>
  </si>
  <si>
    <t>Montáž doplňků dveří, samozavírače hydraulického</t>
  </si>
  <si>
    <t>Zavírač TS 5000 S tělo - stříbrná EV1</t>
  </si>
  <si>
    <t>Kluzná lišta pro zavírače TS 3000 a TS 5000 - stříbrná EV1</t>
  </si>
  <si>
    <t>Omezovač otevření do lišty pro zavírač TS 3000 a TS 5000</t>
  </si>
  <si>
    <t>Aretace do lišty pro zavírače TS 3000 a TS 5000</t>
  </si>
  <si>
    <t>Vyčištění budov o výšce podlaží do 4 m</t>
  </si>
  <si>
    <t>Bourání mazanin betonových tl. 10 cm, pl. 1 m2</t>
  </si>
  <si>
    <t>ručně tl. mazaniny 5 - 8 cm</t>
  </si>
  <si>
    <t>Vyvěšení dřevěných okenních křídel pl. do 1,5 m2</t>
  </si>
  <si>
    <t>Vyvěšení dřevěných okenních křídel pl. nad 1,5 m2</t>
  </si>
  <si>
    <t>Vyvěšení dřevěných dveřních křídel pl. do 2 m2</t>
  </si>
  <si>
    <t>Vybourání dřevěných rámů oken jednoduch. pl. 1 m2</t>
  </si>
  <si>
    <t>Vybourání dřevěných rámů oken jednoduch. pl. 2 m2</t>
  </si>
  <si>
    <t>Vybourání dřevěných rámů oken jednoduch. pl. 4 m2</t>
  </si>
  <si>
    <t>Vybourání dřevěných dveřních zárubní pl. nad 2 m2</t>
  </si>
  <si>
    <t>Vyvěšení, zavěšení kovových křídel dveří pl. 2 m2</t>
  </si>
  <si>
    <t>Vybourání kovových dveřních zárubní pl. nad 2 m2</t>
  </si>
  <si>
    <t>Bourání parapetů dřevěných š. do 25 cm</t>
  </si>
  <si>
    <t>Bourání parapetů dřevěných š. do 50 cm</t>
  </si>
  <si>
    <t>Poplatek za skládku suti - dřevo+sklo</t>
  </si>
  <si>
    <t>Vyrovnávací potěr MC 15, v pásu, tl. 20 mm</t>
  </si>
  <si>
    <t>Izolace proti vlhkosti vodor. nátěr ALP za studena</t>
  </si>
  <si>
    <t>1x nátěr - včetně dodávky penetračního laku ALP</t>
  </si>
  <si>
    <t>Izolace proti vlhk. vodorovná pásy přitavením</t>
  </si>
  <si>
    <t>1 vrstva - včetně dod. Elastek 40 special mineral</t>
  </si>
  <si>
    <t>Příplatek za plochu do 10 m2, natěradly</t>
  </si>
  <si>
    <t>Příplatek za pl.do 10 m2, pásy,zemní vlhkost</t>
  </si>
  <si>
    <t>Přesun hmot pro izolace proti vodě, výšky do 6 m</t>
  </si>
  <si>
    <t>Těsnění okenní spáry, ostění, PT folie + PP folie</t>
  </si>
  <si>
    <t>PT folie šířky 100 mm; PP folie šířky 100 mm</t>
  </si>
  <si>
    <t>Montáž oken plastových plochy do 1,50 m2</t>
  </si>
  <si>
    <t>PLASTOVÉ OKNO, DVOUKŘÍDLÉ, ŠTULP, OTEVÍRAVÉ, SKLÁPĚCÍ, MAX. Uw = 0,96 W/m2K, 1200x900, IZOLAČNÍ TROJSKLO ČIRÉ Ug= 0,6 W/m2K, poz. 1</t>
  </si>
  <si>
    <t>PLASTOVÉ OKNO, JEDNOKŘÍDLOVÉ, OTEVÍRAVÉ, SKLÁPĚCÍ, MAX. Uw = 0,96 W/m2K, 600x900, IZOLAČNÍ TROJSKLO ČIRÉ Ug= 0,6 W/m2K, poz. 2</t>
  </si>
  <si>
    <t>PLASTOVÉ OKNO, JEDNOKŘÍDLOVÉ, SKLÁPĚCÍ, MAX. Uw = 0,96 W/m2K, 900x900, IZOLAČNÍ TROJSKLO ČIRÉ Ug= 0,6 W/m2K, poz. 5</t>
  </si>
  <si>
    <t>PLASTOVÉ OKNO, JEDNOKŘÍDLOVÉ, OTEVÍRAVÉ, SKLÁPĚCÍ, MAX. Uw = 0,96 W/m2K, 600x900, IZOLAČNÍ TROJSKLO ČIRÉ Ug= 0,6 W/m2K, poz. 10</t>
  </si>
  <si>
    <t>PÁKOVÝ OVLADAČ NA OKNĚ NEBO STĚNĚ, RUČNÍ PÁKA, KRYT, NŮŽKY, TÁHLO, BOWDEN</t>
  </si>
  <si>
    <t>Montáž oken plastových plochy do 2,70 m2</t>
  </si>
  <si>
    <t>PLASTOVÉ OKNO, TROJKŘÍDLÉ, SLOUPEK, ŠTULP, OTEVÍRAVÉ, SKLÁPĚCÍ, MAX. Uw = 0,96 W/m2K, 2700x900, IZOLAČNÍ TROJSKLO ČIRÉ Ug= 0,6 W/m2K, poz. 7</t>
  </si>
  <si>
    <t>PLASTOVÉ OKNO, TROJKŘÍDLÉ, SLOUPEK, ŠTULP, OTEVÍRAVÉ, SKLÁPĚCÍ, MAX. Uw = 0,96 W/m2K, 2400x900, IZOLAČNÍ TROJSKLO ČIRÉ Ug= 0,6 W/m2K, poz. 8</t>
  </si>
  <si>
    <t>PLASTOVÉ OKNO, DVOUKŘÍDLÉ, ŠTULP, OTEVÍRAVÉ, SKLÁPĚCÍ, MAX. Uw = 0,96 W/m2K, 1800x900, IZOLAČNÍ TROJSKLO ČIRÉ Ug= 0,6 W/m2K, poz. 9</t>
  </si>
  <si>
    <t>Montáž oken plastových plochy do 4,50 m2</t>
  </si>
  <si>
    <t>3KS PLAST. OKNO, 2KŘÍDLÉ S POUTCEM, H. KŘÍDLO OTEV., SKL., D. KŘÍDLO SKL., MAX. Uw = 0,96 W/m2K, 1500x2350, IZ. 3SKLO ČIRÉ Ug= 0,6 W/m2K, poz. 3.1</t>
  </si>
  <si>
    <t>4KS PLAST. OKNO, 2KŘÍDLÉ S POUTCEM, H. KŘÍDLO OTEV., SKL., D. KŘÍDLO SKL., MAX. Uw = 0,96 W/m2K, 1500x2350, IZ. 3SKLO ČIRÉ Ug= 0,6 W/m2K, poz. 4</t>
  </si>
  <si>
    <t>Montáž balkónových dveří plastových</t>
  </si>
  <si>
    <t>PLAST. DVEŘE, 2KŘÍDLÉ S NADSVĚTLÍKEM, OTEV., NADSV. SKLOPNÝ, DO SESTAVY S 3.1, MAX. Uw = 0,96 W/m2K, 1500x2950, IZ. 3SKLO ČIRÉ Ug= 0,6 W/m2K, poz. 3.2</t>
  </si>
  <si>
    <t>Montáž parapetních desek š.do 30 cm,dl.do 100 cm</t>
  </si>
  <si>
    <t>Parapet interiér DTD šíře 150 mm tyč dl. 4,05 m</t>
  </si>
  <si>
    <t>Parapet interiér DTD šíře 200 mm tyč dl. 4,05 m</t>
  </si>
  <si>
    <t>Parapet interiér DTD šíře 250 mm tyč dl. 4,05 m</t>
  </si>
  <si>
    <t>Krytka boční plastová pro DTD parapet 200 mm 2 ks</t>
  </si>
  <si>
    <t>Montáž parapetních desek š.do 30 cm,dl.do 160 cm</t>
  </si>
  <si>
    <t>Montáž parapetních desek š.do 30 cm,dl.do 260 cm</t>
  </si>
  <si>
    <t>Montáž parapetních desek š.do 30 cm,dl.nad 260 cm</t>
  </si>
  <si>
    <t>Spojka plastová pro DTD parapet</t>
  </si>
  <si>
    <t>Demontáž krytů topných těles</t>
  </si>
  <si>
    <t>Montáž krytů topných těles z tvrdého dřeva</t>
  </si>
  <si>
    <t>Přesun hmot pro truhlářské konstr., výšky do 6 m</t>
  </si>
  <si>
    <t>Zakrytí předmětů</t>
  </si>
  <si>
    <t>včetně dodávky fólie tl. 0,04 mm</t>
  </si>
  <si>
    <t>Zakrytí podlah</t>
  </si>
  <si>
    <t>včetně papírové lepenky</t>
  </si>
  <si>
    <t>Malba disperzní interiér.,výška do 3,8 m</t>
  </si>
  <si>
    <t>1barevná, 2x nátěr, 1x penetrace</t>
  </si>
  <si>
    <t>Demontáž teplotního čidla MaR z potrubí</t>
  </si>
  <si>
    <t>Demontáž čerpadla oběhového spirálního DN 40</t>
  </si>
  <si>
    <t>Demontáž čerpadel  oběhových spirálních (do potrubí) DN 40</t>
  </si>
  <si>
    <t>Přesun demontovaných strojoven vodorovně 100 m v objektech výšky do 6 m</t>
  </si>
  <si>
    <t>Vnitrostaveništní přemístění vybouraných (demontovaných) hmot strojoven  vodorovně do 100 m v objektech výšky do 6 m</t>
  </si>
  <si>
    <t>Demontáž potrubí ocelového hladkého do D 60,3 vč. tepelné izolace z minerální vlny o síle 30mm</t>
  </si>
  <si>
    <t>Přemístění potrubí demontovaného vodorovně do 100 m v objektech výšky do 6 m</t>
  </si>
  <si>
    <t>Vnitrostaveništní přemístění vybouraných (demontovaných) hmot rozvodů potrubí  vodorovně do 100 m v objektech výšky do 6 m</t>
  </si>
  <si>
    <t>Demontáž armatury závitové s jedním závitem do G 6/4, termostatické hlavice</t>
  </si>
  <si>
    <t>Demontáž armatur závitových  s jedním závitem přes 1 do G 6/4, termostatické hlavice</t>
  </si>
  <si>
    <t>Demontáž armatury závitové se dvěma závity do G 1/2</t>
  </si>
  <si>
    <t>Demontáž armatur závitových  se dvěma závity do G 1/2</t>
  </si>
  <si>
    <t>Demontáž armatury závitové se dvěma závity do G 1; šroubení</t>
  </si>
  <si>
    <t>Demontáž armatur závitových  se dvěma závity přes 1/2 do G 1; šroubení</t>
  </si>
  <si>
    <t>Demontáž armatury závitové se dvěma závity do G 2</t>
  </si>
  <si>
    <t>Demontáž armatur závitových  se dvěma závity přes 6/4 do G 2</t>
  </si>
  <si>
    <t>Demontáž armatury směšovací trojcestné DN 32  včetně pohonu a odpojení z řídícího systému</t>
  </si>
  <si>
    <t>Přemístění demontovaných armatur vodorovně do 100 m v objektech výšky do 6 m</t>
  </si>
  <si>
    <t>Vnitrostaveništní přemístění vybouraných (demontovaných) hmot armatur  vodorovně do 100 m v objektech výšky do 6 m</t>
  </si>
  <si>
    <t>Vypuštění vody z otopných těles</t>
  </si>
  <si>
    <t>Vypuštění vody z otopných soustav  bez kotlů, ohříváků, zásobníků a nádrží</t>
  </si>
  <si>
    <t>Demontáže dřevěných krytů</t>
  </si>
  <si>
    <t>Zkouška těsnosti potrubí ocelové závitové do DN 40</t>
  </si>
  <si>
    <t>úprava přípojky na potrubí ocelové závitové DN 10</t>
  </si>
  <si>
    <t>úprava přípojky na potrubí ocelové závitové DN 15</t>
  </si>
  <si>
    <t>Přesun hmot procentní pro rozvody potrubí v objektech v do 6 m</t>
  </si>
  <si>
    <t>Přesun hmot pro rozvody potrubí  stanovený procentní sazbou z ceny vodorovná dopravní vzdálenost do 50 m v objektech výšky do 6 m</t>
  </si>
  <si>
    <t>Zablokování termostatické hlavice na max.teploty dle projektu</t>
  </si>
  <si>
    <t>Montáž závitových armatur  s 1 závitem do G 1 (DN 25), TRH</t>
  </si>
  <si>
    <t>Termostatická hlavice kapalinová, připojení M30x1,5, RAL 9016, rozsah 6-28°C s možnosti skrytého zablokování a omezení teploty dvěmi zarážkami</t>
  </si>
  <si>
    <t>Termostatická hlavice kapalinová, připojení M30x1,5, RAL 9016, rozsah 6-28°C s možnosti skrytého zablokování a omezení teploty dvěmi zarážkami._x000D_
Uživatelské 2 klipy pro nastavení teplot. Hystereze 0,15K, ovlivnění teplotou vody max. 0,3K</t>
  </si>
  <si>
    <t>TERMOSTATICKÁ HLAVICE S DÁLKOVÝM OVLÁDÁNÍM S PŘIPOJENÍM M30x1,5, rozsah 0-27°C, délka kapiláry 2m</t>
  </si>
  <si>
    <t>TERMOSTATICKÁ HLAVICE S DÁLKOVÝM OVLÁDÁNÍM S PŘIPOJENÍM M30x1,5, rozsah 0-27°C_x000D_
DÉLKA KAPILÁRY UVEDENA NA VÝKRESE, MONTÁŽ HLAVICE NA SKŘÍŇ NEBO STĚNU DO MÍSTA KDE JE ZAJIŠTĚNA CIRKULACE VZDUCHU. KAPILÁRU VÉST V PLASTOVÉ LIŠTĚ._x000D_
Délka kapiláry 2m</t>
  </si>
  <si>
    <t>TERMOSTATICKÁ HLAVICE S DÁLKOVÝM OVLÁDÁNÍM S PŘIPOJENÍM M30x1,5, rozsah 0-27°C, Délka kapiláry 5m</t>
  </si>
  <si>
    <t>TERMOSTATICKÁ HLAVICE S DÁLKOVÝM OVLÁDÁNÍM S PŘIPOJENÍM M30x1,5, rozsah 0-27°C_x000D_
DÉLKA KAPILÁRY UVEDENA NA VÝKRESE, MONTÁŽ HLAVICE NA SKŘÍŇ NEBO STĚNUDO MÍSTA KDE JE ZAJIŠTĚNA CIRKULACE VZDUCHU. KAPILÁRU VÉST V PLASTOVÉ LIŠTĚ._x000D_
Délka kapiláry 5m</t>
  </si>
  <si>
    <t>Montáž armatury závitové s dvěma závity G 3/8</t>
  </si>
  <si>
    <t>Montáž závitových armatur  se 2 závity G 3/8 (DN 10)</t>
  </si>
  <si>
    <t>Radiátorový ventil přímý DN 10 s automatickým nastavením průtoku v rozsahu 10-150 l/h. PN 10; Délka tělesa 59 mm</t>
  </si>
  <si>
    <t>Radiátorový ventil přímý DN 10 s automatickým nastavením průtoku v rozsahu 10-150 l/h. PN 10_x000D_
Max. tlaková ztráta 15 kPa, připojení pro termostatickou hlavici M30x1,5_x000D_
Délka tělesa 59 mm</t>
  </si>
  <si>
    <t>Radiátorový ventil rohový DN 10 s automatickým nastavením průtoku v rozsahu 10-150 l/h. PN 10;Délka tělesa 59 mm</t>
  </si>
  <si>
    <t>Radiátorový ventil rohový DN 10 s automatickým nastavením průtoku v rozsahu 10-150 l/h. PN 10_x000D_
Max. tlaková ztráta 15 kPa, připojení pro termostatickou hlavici M30x1,5_x000D_
Délka tělesa 59 mm</t>
  </si>
  <si>
    <t>Montáž armatury závitové s dvěma závity G 1/2</t>
  </si>
  <si>
    <t>Montáž závitových armatur  se 2 závity G 1/2 (DN 15)</t>
  </si>
  <si>
    <t>Radiátorový ventil přímý DN 15 s automatickým nastavením průtoku v rozsahu 10-150 l/h. PN 10;Délka tělesa 66 mm</t>
  </si>
  <si>
    <t>Radiátorový ventil přímý DN 15 s automatickým nastavením průtoku v rozsahu 10-150 l/h. PN 10_x000D_
Max. tlaková ztráta 15 kPa, připojení pro termostatickou hlavici M30x1,5_x000D_
Délka tělesa 66 mm</t>
  </si>
  <si>
    <t>Přetěsnění šroubení závitového do G 1</t>
  </si>
  <si>
    <t>Přesun hmot procentní pro armatury v objektech v do 6 m</t>
  </si>
  <si>
    <t>Přesun hmot pro armatury  stanovený procentní sazbou (%) z ceny vodorovná dopravní vzdálenost do 50 m v objektech výšky do 6 m</t>
  </si>
  <si>
    <t>Vyregulování ventilu nebo kohoutu dvojregulačního s termostatickým ovládáním</t>
  </si>
  <si>
    <t>Regulace otopného systému při opravách  vyregulování dvojregulačních ventilů a kohoutů s termostatickým ovládáním</t>
  </si>
  <si>
    <t>Odvzdušnění otopných těles</t>
  </si>
  <si>
    <t>Ostatní opravy otopných těles  odvzdušnění tělesa</t>
  </si>
  <si>
    <t>Napuštění vody do otopných těles</t>
  </si>
  <si>
    <t>Ostatní opravy otopných těles  napuštění vody do otopného systému včetně potrubí (bez kotle a ohříváků) otopných těles</t>
  </si>
  <si>
    <t>Přesun hmot procentní pro otopná tělesa v objektech v do 6 m</t>
  </si>
  <si>
    <t>Přesun hmot pro otopná tělesa  stanovený procentní sazbou (%) z ceny vodorovná dopravní vzdálenost do 50 m v objektech výšky do 6 m</t>
  </si>
  <si>
    <t>topná zkouška</t>
  </si>
  <si>
    <t>Zpětná montáž dřevěných krytů</t>
  </si>
  <si>
    <t>Základní antikorozní jednonásobný syntetický potrubí DN do 50 mm</t>
  </si>
  <si>
    <t>Základní antikorozní nátěr armatur a kovových potrubí jednonásobný potrubí do DN 50 mm syntetický standardní</t>
  </si>
  <si>
    <t>Základní antikorozní jednonásobný syntetický samozákladující potrubí DN do 50 mm</t>
  </si>
  <si>
    <t>Základní antikorozní nátěr armatur a kovových potrubí jednonásobný potrubí do DN 50 mm syntetický samozákladující</t>
  </si>
  <si>
    <t>Montáž izolace tepelné potrubí potrubními pouzdry s Al fólií staženými Al páskou 1x D do 50 mm</t>
  </si>
  <si>
    <t>Montáž izolace tepelné potrubí a ohybů tvarovkami nebo deskami  potrubními pouzdry s povrchovou úpravou hliníkovou fólií (izolační materiál ve specifikaci) přelepenými samolepící hliníkovou páskou potrubí jednovrstvá D do 50 mm</t>
  </si>
  <si>
    <t>pouzdro izolační potrubní s jednostrannou Al fólií max. 250/100 °C 35/30 mm</t>
  </si>
  <si>
    <t>pouzdro izolační potrubní s jednostrannou Al fólií max. 250/100 °C 42/30 mm</t>
  </si>
  <si>
    <t>Přesun hmot procentní pro izolace tepelné v objektech v do 6 m</t>
  </si>
  <si>
    <t>Přesun hmot pro izolace tepelné stanovený procentní sazbou (%) z ceny vodorovná dopravní vzdálenost do 50 m v objektech výšky do 6 m</t>
  </si>
  <si>
    <t>Montáž čerpadla oběhového mokroběžného závitového DN 32</t>
  </si>
  <si>
    <t>Čerpadla teplovodní montáž čerpadel (do potrubí) ostatních typů mokroběžných závitových DN 32</t>
  </si>
  <si>
    <t>Elektrické oběhové čerpadlo s displejem DN 32, průtok 2,4 m3/h, výtlak 3m, proporcoinální režim s možností zablokování pozice nastavení, max. výtlak 6</t>
  </si>
  <si>
    <t>Elektrické oběhové čerpadlo s displejem DN 32, průtok 2,4 m3/h, výtlak 3m, proporcoinální režim s možností zablokování pozice nastavení, max. výtlak 6m, 84W, PN10, připojení G 1 1/2"</t>
  </si>
  <si>
    <t>Přesun hmot procentní pro strojovny v objektech v do 6 m</t>
  </si>
  <si>
    <t>Přesun hmot pro strojovny  stanovený procentní sazbou (%) z ceny vodorovná dopravní vzdálenost do 50 m v objektech výšky do 6 m</t>
  </si>
  <si>
    <t>Potrubí ocelové závitové bezešvé běžné v kotelnách nebo strojovnách DN 32</t>
  </si>
  <si>
    <t>Potrubí z trubek ocelových závitových  bezešvých běžných nízkotlakých v kotelnách a strojovnách DN 32</t>
  </si>
  <si>
    <t>Potrubí ocelové závitové bezešvé běžné v kotelnách nebo strojovnách DN 40</t>
  </si>
  <si>
    <t>Potrubí z trubek ocelových závitových  bezešvých běžných nízkotlakých v kotelnách a strojovnách DN 40</t>
  </si>
  <si>
    <t>Příplatek k potrubí ocelovému hladkému za zhotovení přechodů z trubek hladkých DN 40/32 nebo 40/25</t>
  </si>
  <si>
    <t>Příplatek k potrubí ocelovému hladkému za zhotovení přechodů z trubek hladkých DN 50/32 nebo DN50/40</t>
  </si>
  <si>
    <t>Zkoušky těsnosti potrubí, manžety prostupové z trubek ocelových  zkoušky těsnosti potrubí (za provozu) z trubek ocelových závitových DN do 40</t>
  </si>
  <si>
    <t>Propojení na stávající potrubí ocelové závitové do DN 40</t>
  </si>
  <si>
    <t>Montáž armatury závitové s dvěma závity G 1, s pohonem</t>
  </si>
  <si>
    <t>Dvoucestný regulační ventil DN 25, Kvs 8, EQM charakteristika s pohonem 230V, 3-bodové řízení</t>
  </si>
  <si>
    <t>Montáž armatury závitové s dvěma závity G 5/4</t>
  </si>
  <si>
    <t>Montáž závitových armatur  se 2 závity G 5/4 (DN 32)</t>
  </si>
  <si>
    <t>Regulátor tlakové diference DN 32, rozsah tlaku 10-40 kPa, s měřící vsuvkou a kapilárou včetně přechodek na 3/4 závit, kvs 8,5</t>
  </si>
  <si>
    <t>Regulátor tlakové diference DN 32, rozsah tlaku 10-40 kPa, s měřící vsuvkou a kapilárou včetně přechodek na 3/4" závit, kvs 8,5</t>
  </si>
  <si>
    <t>Montáž armatury závitové s dvěma závity G 6/4</t>
  </si>
  <si>
    <t>Montáž závitových armatur  se 2 závity G 6/4 (DN 40)</t>
  </si>
  <si>
    <t>Vyvažovací ventil DN 40, Kvs 19,3 včetně měřících vsuvek s arteací nastavené polohy</t>
  </si>
  <si>
    <t>Zpětná klapka EURO DN 40 s nízkou takovou ztrátou a ocelovou klapkou</t>
  </si>
  <si>
    <t>Vypouštěcí kohout DN 15 s připojením G3/4</t>
  </si>
  <si>
    <t>Vypouštěcí kohout DN 15 s připojením G3/4"</t>
  </si>
  <si>
    <t>Tlakoměr 0-600 kPa včetně U-smyčky a tlakoměrového kohoutu</t>
  </si>
  <si>
    <t>Kondenzační smyčka k přivaření zahnutá PN 250 do 300°C</t>
  </si>
  <si>
    <t>Tlakoměry kondenzační smyčky k přivaření, PN 250 do 300°C zahnuté</t>
  </si>
  <si>
    <t>Návarek s metrickým závitem M 12x1,5 délky do 220 mm pro tlakoměr</t>
  </si>
  <si>
    <t>Měřicí armatury návarky s metrickým závitem M 12x1,5 délky do 220 mm pro tlakoměr</t>
  </si>
  <si>
    <t>Návarek s trubkovým závitem G 1/2 pro vypouštěcí kohout</t>
  </si>
  <si>
    <t>Měřicí armatury návarky s trubkovým závitem G 1/2 pro vypouštěcí kohout</t>
  </si>
  <si>
    <t>Změna topné křivky a kontrola naprogramování ekvitermní regulace</t>
  </si>
  <si>
    <t>Hydraulické vyvážení a nastavení průtoku</t>
  </si>
  <si>
    <t>Montáž teplotního čidla MaR</t>
  </si>
  <si>
    <t>Napojení čerpadla na napájecí kabel MaR</t>
  </si>
  <si>
    <t>Napojení čerpadla na anpájecí kabel MaR</t>
  </si>
  <si>
    <t>Napojení 2-cestného ventilu na napájecí kabel MaR</t>
  </si>
  <si>
    <t>Přesun hmot procentní pro slaboproud v objektech v do 6 m</t>
  </si>
  <si>
    <t>Přesun hmot pro slaboproud stanovený procentní sazbou (%) z ceny vodorovná dopravní vzdálenost do 50 m v objektech výšky do 6 m</t>
  </si>
  <si>
    <t>Svorka hromosvodová do 2 šroubů /SS, SZ, SO/</t>
  </si>
  <si>
    <t>Vedení uzemňovací na povrchu FeZn D 10 mm</t>
  </si>
  <si>
    <t>Montáž oddáleného jímače 1,5</t>
  </si>
  <si>
    <t>Montáž úhelníku, 2x držák úhelníku</t>
  </si>
  <si>
    <t>Montážzemnící tyče ZT2m</t>
  </si>
  <si>
    <t>Měření zemních odporů</t>
  </si>
  <si>
    <t>Demontáž hromosvodu, svodů</t>
  </si>
  <si>
    <t>Demontáže a úpravy instalce na fasádě, střeše</t>
  </si>
  <si>
    <t>Koordinace s ostaními profesemi</t>
  </si>
  <si>
    <t>Revize</t>
  </si>
  <si>
    <t>vynášení suti do kontejneru</t>
  </si>
  <si>
    <t>Tyč jímací JV 1,5 1500 mm s vrutem, podstavec</t>
  </si>
  <si>
    <t>Podpěra vedení na ploché střechy PV 21-b 100 mm</t>
  </si>
  <si>
    <t>Svorka spojovací SS,SP pro lano d 8-10 mm</t>
  </si>
  <si>
    <t>Vedení uzemňovací na povrchu FeZn D 10 mm, včetně drátu FeZn 8 mm</t>
  </si>
  <si>
    <t>Svorka SZ</t>
  </si>
  <si>
    <t>Zemnící tyč ZT2m</t>
  </si>
  <si>
    <t>Ochranný úhelník, 2x držák úhelníku</t>
  </si>
  <si>
    <t>distační vzpěra 80cm</t>
  </si>
  <si>
    <t>nosný a podružný materiál</t>
  </si>
  <si>
    <t>Výkop kabelové rýhy 35/70 cm  hor.4</t>
  </si>
  <si>
    <t>Zához rýhy 35/70 cm, hornina třídy 4, se zhutněním</t>
  </si>
  <si>
    <t>Rozbourání betonového základu vybourání betonu, odvoz na skládku do 15km</t>
  </si>
  <si>
    <t>Sejmutí drnu tl. do 10 cm, s přemístěním do 50 m</t>
  </si>
  <si>
    <t>Zásyp jam, rýh, šachet se zhutněním</t>
  </si>
  <si>
    <t>Lišta z PH bez krabic,ulož. pevně,L 40 protahovací</t>
  </si>
  <si>
    <t>Krabice pancéřová z PH 8111,odbočná se zapojením</t>
  </si>
  <si>
    <t>Kabel CYKY-m 750 V 3 x 1,5 mm2 pevně uložený</t>
  </si>
  <si>
    <t>Svítidlo zářivkové 2312001, 2x40 W, stropní</t>
  </si>
  <si>
    <t>Svítidlo zářivkové 2330302  20 W nástěnné</t>
  </si>
  <si>
    <t>Demontáž svítidla do 2x58W, likvidace</t>
  </si>
  <si>
    <t>Montáž pohybového spínače</t>
  </si>
  <si>
    <t>Demontáže, zaměření vývodů, úprava instalace</t>
  </si>
  <si>
    <t>Koordinace s profesí VZT</t>
  </si>
  <si>
    <t>Zabezpečení pracoviště</t>
  </si>
  <si>
    <t>Lišta vkládací z PVC délka 3 m  LV 18x13</t>
  </si>
  <si>
    <t>Lišta vkládací z PVC délka 3 m  LV 24x22</t>
  </si>
  <si>
    <t>Krabice elektroinstalační plastová 8111</t>
  </si>
  <si>
    <t>Kabel silový s Cu jádrem 750 V CYKY 3 x 1,5 mm2</t>
  </si>
  <si>
    <t>Kabel silový s Cu jádrem 750 V CYKY 2 x 1,5 mm2</t>
  </si>
  <si>
    <t>pohybový spínač stropní, IP44, 270°</t>
  </si>
  <si>
    <t>A - vestavné LED svítidlo 55W, IP20, Mikroprizma, 600x600</t>
  </si>
  <si>
    <t>B - přisazené LED svítidlo 40W, IP65, difuzor, prachotěs</t>
  </si>
  <si>
    <t>C - přisazené LED svítidlo 57W, IP20, difuzor</t>
  </si>
  <si>
    <t>C1 - přisazené LED svítidlo 26W, IP20, difuzor</t>
  </si>
  <si>
    <t>D - přisazené LED svítidlo 18W IP20, kulaté. Plastové</t>
  </si>
  <si>
    <t>F - přisazené LED svítidlo 18W IP65, kulaté plstové</t>
  </si>
  <si>
    <t>N - přisazené nouzové svítidlo 1x3W, IP44 + piktogram  -  1hod. nouzově svítící</t>
  </si>
  <si>
    <t>Průraz zdivem v cihlové zdi tloušťky 15 cm do průměru 6 cm</t>
  </si>
  <si>
    <t>Průraz zdivem v cihlové zdi tloušťky 30 cm do průměru 6 cm</t>
  </si>
  <si>
    <t>Kabel CYKY-m 750 V 3 x 2,5 mm2 pevně uložený</t>
  </si>
  <si>
    <t>Kabel CYKY-m 750 V 5 x 1,5 mm2 pevně uložený</t>
  </si>
  <si>
    <t>Kabel sdělovací NCEY 5 x 1 mm pevně uložený</t>
  </si>
  <si>
    <t>Ukončení celoplast. kabelů zákl./pás.do 5x4 mm2</t>
  </si>
  <si>
    <t>Ukončení vodičů v rozvaděči + zapojení do 2,5 mm2</t>
  </si>
  <si>
    <t>Montáž  controleru žaluzií, 4 pohony</t>
  </si>
  <si>
    <t>Montáž  žaluziového ovladače</t>
  </si>
  <si>
    <t>Napojení pohonu žaluzie</t>
  </si>
  <si>
    <t>Napojení ve stávajících rozvaděčích silnoproud</t>
  </si>
  <si>
    <t>Koordinace s profesí stavba</t>
  </si>
  <si>
    <t>Kabel silový s Cu jádrem 750 V CYKY 3 C x 2,5 mm2</t>
  </si>
  <si>
    <t>Kabel silový s Cu jádrem 750 V CYKY 5 x 1,5 mm2</t>
  </si>
  <si>
    <t>RJ - řídící reléová jednotka pro žaluzioe - Motor Controller 4AC umožňuje řídit až 4 pohony, krabice pod omítku</t>
  </si>
  <si>
    <t>Z - žaluziový ovladač, na povrch -spínač pro venkovní žaluzie a rolety s aretací. Spínač je 5 - polohový a zabraňuje sepnutí obou směrů současně.</t>
  </si>
  <si>
    <t>utp cat5e</t>
  </si>
  <si>
    <t>Rozvaděč R - doplnění  -  jistič 10kA 10C/1, spoj. a podr. mat.</t>
  </si>
  <si>
    <t>Demontáž armatur s jedním závitem G 3/4</t>
  </si>
  <si>
    <t>Montáž vodovodních armatur,1závit, G 1/2</t>
  </si>
  <si>
    <t>Zátka 1/2</t>
  </si>
  <si>
    <t>Přesun hmot pro vnitřní vodovod, výšky do 6 m</t>
  </si>
  <si>
    <t>Montáž keram.dlaždic a schodovek na stupnice,TM</t>
  </si>
  <si>
    <t>Montáž keramických dlaždic na podstupnice, TM</t>
  </si>
  <si>
    <t>Hrana schodů z nerezového profilu</t>
  </si>
  <si>
    <t>Podlahový profil koutový dvoudílný z kombinace tvrdé/měkké past hmoty U 11/ O 10 mm</t>
  </si>
  <si>
    <t>Montáž podlah keram.vnější, hladké, tmel, 30x30 cm</t>
  </si>
  <si>
    <t>Bourání základů z betonu prostého</t>
  </si>
  <si>
    <t>Bourání mazanin betonových tl. 10 cm, nad 4 m2</t>
  </si>
  <si>
    <t>pneumat. kladivo, tl. mazaniny 5 - 8 cm</t>
  </si>
  <si>
    <t>Příplatek, bourání mazanin se svař. síťí tl. 10 cm</t>
  </si>
  <si>
    <t>Bourání dlažeb keramických tl.10 mm, nad 1 m2</t>
  </si>
  <si>
    <t>Odstranění násypu tl. do 20 cm, plocha nad 2 m2</t>
  </si>
  <si>
    <t>tl. násypu 10 - 15 cm, plocha nad 2 m2</t>
  </si>
  <si>
    <t>Poplatek za skládku suti - beton do 30x30 cm</t>
  </si>
  <si>
    <t>Izolace a dilatace rohoží PE s rybinovitě tvarovanými výlisky a nosnou tkaninou</t>
  </si>
  <si>
    <t>Páska z PE s nosnou tkaninou, šířky 250</t>
  </si>
  <si>
    <t>Páska z PE s nosnou tkaninou, šířky 150</t>
  </si>
  <si>
    <t>Přířez PE s nosnou tkaninou pro vnější rohy</t>
  </si>
  <si>
    <t>Přířez PE s nosnou tkaninou pro vnitřníí rohy</t>
  </si>
  <si>
    <t>Hloubení nezapaž. jam hor.4 do 50 m3, STROJNĚ</t>
  </si>
  <si>
    <t>Beton základových desek prostý C 16/20</t>
  </si>
  <si>
    <t>Bednění stěn základových desek - zřízení</t>
  </si>
  <si>
    <t>Bednění stěn základových desek - odstranění</t>
  </si>
  <si>
    <t>Beton schodišťových konstrukcí železový C 20/25</t>
  </si>
  <si>
    <t>Výztuž schodišťových konstrukcí svařovanou sítí</t>
  </si>
  <si>
    <t>průměr drátu  5,0, oka 150/150 mm KD37</t>
  </si>
  <si>
    <t>Bednění stupňů přímočarých - zřízení</t>
  </si>
  <si>
    <t>Bednění stupňů přímočarých - odstranění</t>
  </si>
  <si>
    <t>Montáž krytiny hladké z Pz, tabule 2 x 1 m</t>
  </si>
  <si>
    <t>bez zednických výpomocí</t>
  </si>
  <si>
    <t>Plech tabule lakovaný pozink., tl.0,55 mm   1x2 m</t>
  </si>
  <si>
    <t>Demont. krytiny, tabule 2 x 1 m, nad 25 m2, do 30°</t>
  </si>
  <si>
    <t>Překotvení krytiny hladké z Pz, tabule 2 x 1 m samovrtnými šrouby</t>
  </si>
  <si>
    <t>Nátěr vodou řed. klempíř. konstrukcí Z + 2 x</t>
  </si>
  <si>
    <t>Eternal akrylátový</t>
  </si>
  <si>
    <t>Nátěr olejový tesařských konstrukcí, napuštění</t>
  </si>
  <si>
    <t>Nátěr tesařských konstrukcí</t>
  </si>
  <si>
    <t>ochrana dřeva v exteriéru</t>
  </si>
  <si>
    <t>Odmaštění saponáty</t>
  </si>
  <si>
    <t>Odrezivění kovových konstrukcí</t>
  </si>
  <si>
    <t>Zateplovací systém, sokl, EPS SOKL tl. 30 mm</t>
  </si>
  <si>
    <t>s omítkou mozaikovou 4,0 kg/m2</t>
  </si>
  <si>
    <t>Zateplovací systém, sokl, EPS SOKL tl. 60 mm</t>
  </si>
  <si>
    <t>Očištění zdí a valů před opravou, ručně</t>
  </si>
  <si>
    <t>Hydroizolační pás z oxidovaného asfaltu s vložkou ze skleněné tkaniny a minerálním posypem, G 200 S40</t>
  </si>
  <si>
    <t>Bourání schodišťových stupňů betonových</t>
  </si>
  <si>
    <t>Očištění vybour. obrubníků všech loží a výplní</t>
  </si>
  <si>
    <t>Očištění vybour. dlaždic s výplní kamen. těženým</t>
  </si>
  <si>
    <t>Izolace tepelná stěn lepením</t>
  </si>
  <si>
    <t>Deska polystyrénová EPS SOKL 1250x600x 30 mm</t>
  </si>
  <si>
    <t>Deska polystyrénová EPS SOKL 1250x600x 60 mm</t>
  </si>
  <si>
    <t>Deska polystyrénová EPS SOKL 1250x600x 80 mm</t>
  </si>
  <si>
    <t>Izolace proti vlhkosti svis. nátěr ALP, za studena</t>
  </si>
  <si>
    <t>Lak asfaltový izolační ALP</t>
  </si>
  <si>
    <t>Prov. izolace nopovou fólií svisle, vč.uchyc.prvků</t>
  </si>
  <si>
    <t>Izolace proti vlhkosti svislá pásy přitavením</t>
  </si>
  <si>
    <t>Oprac. prostupů pod objímkou, NAIP, D do 300 mm</t>
  </si>
  <si>
    <t>HL800/110 izol. souprava pro potr prostupy DN110</t>
  </si>
  <si>
    <t>HL800/160 izol. souprava pro potr prostupy DN160</t>
  </si>
  <si>
    <t>Hloubení rýh š.do 60 cm v hor.4 do 50 m3,STROJNĚ</t>
  </si>
  <si>
    <t>Přípl.za lepivost,hloubení rýh 60 cm,hor.4,STROJNĚ</t>
  </si>
  <si>
    <t>Hloubení rýh š.do 200 cm hor.4 do 50 m3, STROJNĚ</t>
  </si>
  <si>
    <t>Přípl.za lepivost,hloubení rýh 200cm,hor.4,STROJNĚ</t>
  </si>
  <si>
    <t>Rozebrání dlažeb z betonových dlaždic na sucho</t>
  </si>
  <si>
    <t>Odstranění podkladu pl. 50 m2,kam.těžené tl.5 cm</t>
  </si>
  <si>
    <t>Odstranění podkladu pl. 50 m2,kam.drcené tl.15 cm</t>
  </si>
  <si>
    <t>Odstranění podkladu pl. 50 m2,kam.drcené tl.20 cm</t>
  </si>
  <si>
    <t>Odstranění asfaltové vrstvy pl. do 50 m2, tl.10 cm</t>
  </si>
  <si>
    <t>Odstranění podkladu pl.50 m2, bet.prostý tl.10 cm</t>
  </si>
  <si>
    <t>Vytrhání obrubníků zahradních</t>
  </si>
  <si>
    <t>Dočasné zajištění ocelového potrubí do DN 200 mm</t>
  </si>
  <si>
    <t>Dočasné zajištění beton.a plast. potrubí do DN 200</t>
  </si>
  <si>
    <t>Dočasné zajištění kabelů - do počtu 3 kabelů</t>
  </si>
  <si>
    <t>Sejmutí ornice s přemístěním do 50 m</t>
  </si>
  <si>
    <t>Vodorovné přemíst. výkopku nošením hor.1-4, do 10m</t>
  </si>
  <si>
    <t>Vodorovné přemístění výkopku z hor.1-4 do 10000 m</t>
  </si>
  <si>
    <t>Poplatek za skládku drnu</t>
  </si>
  <si>
    <t>Nakládání výkopku z hor.1-4 v množství do 100 m3</t>
  </si>
  <si>
    <t>Přeložení nebo složení výkopku z hor.1-4</t>
  </si>
  <si>
    <t>Obsyp potrubí bez prohození sypaniny</t>
  </si>
  <si>
    <t>Štěrkopísek frakce 0-16 B</t>
  </si>
  <si>
    <t>Obsyp objektu bez prohození sypaniny</t>
  </si>
  <si>
    <t>Kamenivo drcené frakce  16/32 B Moravskosl. kraj</t>
  </si>
  <si>
    <t>Založení trávníku parkového výsevem v rovině</t>
  </si>
  <si>
    <t>Směs travní parková II. mírná zátěž PROFI</t>
  </si>
  <si>
    <t>Rozprostření ornice, rovina, tl. 10-15 cm,do 500m2</t>
  </si>
  <si>
    <t>Montáž ohebné dren. trubky do rýhy DN 160,bez lože</t>
  </si>
  <si>
    <t>Trubka PVC drenážní flexibilní d 160 mm</t>
  </si>
  <si>
    <t>Obalení vsakovacích bloků geotextílií</t>
  </si>
  <si>
    <t>Geotextilie 300 g/m2 š. 200cm 100% PP</t>
  </si>
  <si>
    <t>Lože pod potrubí z kameniva těženého 0 - 4 mm</t>
  </si>
  <si>
    <t>kraj Moravskoslezský</t>
  </si>
  <si>
    <t>Přípl. za další 1cm kameniva těženého nad 10cm</t>
  </si>
  <si>
    <t>Sedlové lože pod potrubí z betonu C 12/15</t>
  </si>
  <si>
    <t>Podklad z mechanicky zpevněné zeminy tl. 15 cm</t>
  </si>
  <si>
    <t>Podklad z mechanicky zpevněné zeminy tl. 20 cm</t>
  </si>
  <si>
    <t>Podklad z asf.recyklátu fr. 0-32 po zhutn.tl.6 cm</t>
  </si>
  <si>
    <t>Beton asfalt. ACO 8,nebo ACO 11, do 3 m, tl. 4 cm</t>
  </si>
  <si>
    <t>Kryt z betonu komunikací pro pěší tloušťky 8 cm</t>
  </si>
  <si>
    <t>Kladení zámkové dlažby tl. 6 cm do drtě tl. 3 cm</t>
  </si>
  <si>
    <t>Dlažba HOLLAND I BF 20x10x6 cm přírodní</t>
  </si>
  <si>
    <t>Řezání zámkové dlažby tl. 60 mm</t>
  </si>
  <si>
    <t>Kladení dlaždic kom.pro pěší, lože z kameniva těž.</t>
  </si>
  <si>
    <t>Dlaždice betonová 60x60x5 cm hladká</t>
  </si>
  <si>
    <t>Demontáž lapače střešních splavenin DN 100</t>
  </si>
  <si>
    <t>Lapač střešních splavenin PP HL600, kloub</t>
  </si>
  <si>
    <t>Přesun hmot pro vnitřní kanalizaci, výšky do 6 m</t>
  </si>
  <si>
    <t>Montáž tvarovek jednoos. plast. gum.kroužek DN 150</t>
  </si>
  <si>
    <t>Montáž trubek z tvrdého PVC ve výkopu d 160 mm</t>
  </si>
  <si>
    <t>Trubka kanalizační KGEM SN 4 PVC 150x4,0x2000 mm</t>
  </si>
  <si>
    <t>Koleno kanalizační KGB 160/ 45° PVC</t>
  </si>
  <si>
    <t>Výřez a napojení na šachtici DN 315</t>
  </si>
  <si>
    <t>Osazení plastové šachty revizní prům.315 mm</t>
  </si>
  <si>
    <t>Šachta Opti-Control PVC DN 315 lapač.</t>
  </si>
  <si>
    <t>Šachta Opti-Control PVC DN 315</t>
  </si>
  <si>
    <t>Roura šachtová korugovaná  bez hrdla 315/2000 mm</t>
  </si>
  <si>
    <t>Spojka šachtové roury 315 mm PVC vč. těsnění</t>
  </si>
  <si>
    <t>Redukce DN200 / DN160</t>
  </si>
  <si>
    <t>Záslepka DN200</t>
  </si>
  <si>
    <t>Osazení poklopu s rámem do 50 kg</t>
  </si>
  <si>
    <t>Těsnění šachtové roury a teleskopu 315 mm</t>
  </si>
  <si>
    <t>Poklop teleskopický DN 315 B 125 G</t>
  </si>
  <si>
    <t>Osazení záhon.obrubníků do lože z C 12/15 s opěrou</t>
  </si>
  <si>
    <t>včetně obrubníku   100/5/20 cm</t>
  </si>
  <si>
    <t>Řezání stávajícího živičného krytu tl. 10 - 15 cm</t>
  </si>
  <si>
    <t>Montáž  videovrátného</t>
  </si>
  <si>
    <t>Montáž  dveřního videotelefonu</t>
  </si>
  <si>
    <t>Montáž  elektrockého zámku</t>
  </si>
  <si>
    <t>Sada domácího barevného videotelefonu, videotelefon antivandal provedení kamerové jednotky, barevný displej 7", hands-free, ovládání zámku,</t>
  </si>
  <si>
    <t>Sada domácího barevného videotelefonu, videotelefon antivandal provedení kamerové jednotky, barevný displej 7", hands-free, ovládání zámku, úhel záběru kamery 70°,montáž na stěnu, napájení monitoru 12 V DC (součástí balení), napájení kamerové jednotky z monitoru, počet tlačítek kamerové jednotky 1, přísvit kamery, snímací prvek kamery 1/3 CCD s IR přísvitem, rozměr monitoru 127 × 225 × 22 mm_x000D_
 rozměr kamerové jednotky 182 × 107 × 55 mm</t>
  </si>
  <si>
    <t>elektrický otvírač 12AC/DV</t>
  </si>
  <si>
    <t>Rozvaděč R - doplnění  -  jistič 10kA 10B/1, spoj. a podr. mat.</t>
  </si>
  <si>
    <t>Průzkumné práce, statické posouzení v průběhu realizace stavby, autorský dozor</t>
  </si>
  <si>
    <t>Vytyčení inženýrských sítí</t>
  </si>
  <si>
    <t>Vybudování zařízení staveniště pro JKSO 801 až 803</t>
  </si>
  <si>
    <t>Provoz zařízení staveniště pro JKSO 801 až 803</t>
  </si>
  <si>
    <t>Odstranění zařízení staveniště pro JKSO 801 až 803</t>
  </si>
  <si>
    <t>Předání a převzetí staveniště</t>
  </si>
  <si>
    <t>Dočasná dopravní opatření</t>
  </si>
  <si>
    <t>Bezpečnostní a hygienická opatření na staveništi</t>
  </si>
  <si>
    <t>Propagace</t>
  </si>
  <si>
    <t>20.12.2019</t>
  </si>
  <si>
    <t>MJ</t>
  </si>
  <si>
    <t>kus</t>
  </si>
  <si>
    <t>m2</t>
  </si>
  <si>
    <t>m</t>
  </si>
  <si>
    <t>t</t>
  </si>
  <si>
    <t>kpl</t>
  </si>
  <si>
    <t>ks</t>
  </si>
  <si>
    <t>kg</t>
  </si>
  <si>
    <t>m3</t>
  </si>
  <si>
    <t>sada</t>
  </si>
  <si>
    <t>KS</t>
  </si>
  <si>
    <t>KUS</t>
  </si>
  <si>
    <t>M</t>
  </si>
  <si>
    <t>SOUBOR</t>
  </si>
  <si>
    <t>%</t>
  </si>
  <si>
    <t>M2</t>
  </si>
  <si>
    <t>HOD</t>
  </si>
  <si>
    <t>hod</t>
  </si>
  <si>
    <t>Kč</t>
  </si>
  <si>
    <t>Množství</t>
  </si>
  <si>
    <t>Cena/MJ</t>
  </si>
  <si>
    <t>(Kč)</t>
  </si>
  <si>
    <t>Město Český Těšín</t>
  </si>
  <si>
    <t>C.E.I.S. CZ s.r.o.</t>
  </si>
  <si>
    <t> </t>
  </si>
  <si>
    <t>Cenová</t>
  </si>
  <si>
    <t>soustava</t>
  </si>
  <si>
    <t>RTS II / 2019</t>
  </si>
  <si>
    <t>2019</t>
  </si>
  <si>
    <t>RTS I / 2019</t>
  </si>
  <si>
    <t>CS ÚRS 2019 01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</si>
  <si>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</si>
  <si>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</si>
  <si>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</si>
  <si>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</si>
  <si>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</si>
  <si>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</si>
  <si>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</si>
  <si>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</si>
  <si>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</si>
  <si>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31_</t>
  </si>
  <si>
    <t>60_</t>
  </si>
  <si>
    <t>61_</t>
  </si>
  <si>
    <t>62_</t>
  </si>
  <si>
    <t>764_</t>
  </si>
  <si>
    <t>767_</t>
  </si>
  <si>
    <t>771_</t>
  </si>
  <si>
    <t>783_</t>
  </si>
  <si>
    <t>786VD_</t>
  </si>
  <si>
    <t>94_</t>
  </si>
  <si>
    <t>95_</t>
  </si>
  <si>
    <t>96_</t>
  </si>
  <si>
    <t>97_</t>
  </si>
  <si>
    <t>M43_</t>
  </si>
  <si>
    <t>S_</t>
  </si>
  <si>
    <t>713_</t>
  </si>
  <si>
    <t>728_</t>
  </si>
  <si>
    <t>762_</t>
  </si>
  <si>
    <t>763_</t>
  </si>
  <si>
    <t>63_</t>
  </si>
  <si>
    <t>711_</t>
  </si>
  <si>
    <t>766_</t>
  </si>
  <si>
    <t>784_</t>
  </si>
  <si>
    <t>H99_</t>
  </si>
  <si>
    <t>732_</t>
  </si>
  <si>
    <t>733_</t>
  </si>
  <si>
    <t>734_</t>
  </si>
  <si>
    <t>735_</t>
  </si>
  <si>
    <t>OST_</t>
  </si>
  <si>
    <t>742_</t>
  </si>
  <si>
    <t>M21_</t>
  </si>
  <si>
    <t>M46_</t>
  </si>
  <si>
    <t>722_</t>
  </si>
  <si>
    <t>13_</t>
  </si>
  <si>
    <t>27_</t>
  </si>
  <si>
    <t>43_</t>
  </si>
  <si>
    <t>11_</t>
  </si>
  <si>
    <t>12_</t>
  </si>
  <si>
    <t>16_</t>
  </si>
  <si>
    <t>17_</t>
  </si>
  <si>
    <t>18_</t>
  </si>
  <si>
    <t>21_</t>
  </si>
  <si>
    <t>45_</t>
  </si>
  <si>
    <t>56_</t>
  </si>
  <si>
    <t>57_</t>
  </si>
  <si>
    <t>58_</t>
  </si>
  <si>
    <t>59_</t>
  </si>
  <si>
    <t>721_</t>
  </si>
  <si>
    <t>87_</t>
  </si>
  <si>
    <t>89_</t>
  </si>
  <si>
    <t>91_</t>
  </si>
  <si>
    <t>VON_</t>
  </si>
  <si>
    <t>1100_3_</t>
  </si>
  <si>
    <t>1100_6_</t>
  </si>
  <si>
    <t>1100_76_</t>
  </si>
  <si>
    <t>1100_77_</t>
  </si>
  <si>
    <t>1100_78_</t>
  </si>
  <si>
    <t>1100_9_</t>
  </si>
  <si>
    <t>1120_76_</t>
  </si>
  <si>
    <t>1120_9_</t>
  </si>
  <si>
    <t>1120_71_</t>
  </si>
  <si>
    <t>1120_72_</t>
  </si>
  <si>
    <t>1140_3_</t>
  </si>
  <si>
    <t>1140_6_</t>
  </si>
  <si>
    <t>1140_76_</t>
  </si>
  <si>
    <t>1140_9_</t>
  </si>
  <si>
    <t>1140_71_</t>
  </si>
  <si>
    <t>1140_78_</t>
  </si>
  <si>
    <t>1431_73_</t>
  </si>
  <si>
    <t>1431_9_</t>
  </si>
  <si>
    <t>1432_73_</t>
  </si>
  <si>
    <t>1432_9_</t>
  </si>
  <si>
    <t>1433_78_</t>
  </si>
  <si>
    <t>1433_71_</t>
  </si>
  <si>
    <t>1433_73_</t>
  </si>
  <si>
    <t>1433_9_</t>
  </si>
  <si>
    <t>1433_74_</t>
  </si>
  <si>
    <t>1442_9_</t>
  </si>
  <si>
    <t>1443_9_</t>
  </si>
  <si>
    <t>1444_9_</t>
  </si>
  <si>
    <t>2100_9_</t>
  </si>
  <si>
    <t>2100_72_</t>
  </si>
  <si>
    <t>2110_77_</t>
  </si>
  <si>
    <t>2110_9_</t>
  </si>
  <si>
    <t>2110_71_</t>
  </si>
  <si>
    <t>2110_1_</t>
  </si>
  <si>
    <t>2110_2_</t>
  </si>
  <si>
    <t>2110_4_</t>
  </si>
  <si>
    <t>2120_76_</t>
  </si>
  <si>
    <t>2120_78_</t>
  </si>
  <si>
    <t>2120_9_</t>
  </si>
  <si>
    <t>2130_6_</t>
  </si>
  <si>
    <t>2130_9_</t>
  </si>
  <si>
    <t>2130_71_</t>
  </si>
  <si>
    <t>2130_1_</t>
  </si>
  <si>
    <t>2130_2_</t>
  </si>
  <si>
    <t>2130_4_</t>
  </si>
  <si>
    <t>2130_5_</t>
  </si>
  <si>
    <t>2130_72_</t>
  </si>
  <si>
    <t>2130_8_</t>
  </si>
  <si>
    <t>2445_9_</t>
  </si>
  <si>
    <t>VON_9_</t>
  </si>
  <si>
    <t>1100_</t>
  </si>
  <si>
    <t>1120_</t>
  </si>
  <si>
    <t>1140_</t>
  </si>
  <si>
    <t>1431_</t>
  </si>
  <si>
    <t>1432_</t>
  </si>
  <si>
    <t>1433_</t>
  </si>
  <si>
    <t>1442_</t>
  </si>
  <si>
    <t>1443_</t>
  </si>
  <si>
    <t>1444_</t>
  </si>
  <si>
    <t>2100_</t>
  </si>
  <si>
    <t>2110_</t>
  </si>
  <si>
    <t>2120_</t>
  </si>
  <si>
    <t>2130_</t>
  </si>
  <si>
    <t>2445_</t>
  </si>
  <si>
    <t>MAT</t>
  </si>
  <si>
    <t>WORK</t>
  </si>
  <si>
    <t>CELK</t>
  </si>
  <si>
    <t>ISWORK</t>
  </si>
  <si>
    <t>P</t>
  </si>
  <si>
    <t>GROUPCODE</t>
  </si>
  <si>
    <t>Výkaz výměr</t>
  </si>
  <si>
    <t>1   přístavba NU   </t>
  </si>
  <si>
    <t>1   kuchyně   </t>
  </si>
  <si>
    <t>1   spoj. krček   </t>
  </si>
  <si>
    <t>(1,5*0,6)*4   dozdívka parapetu okna 4)   </t>
  </si>
  <si>
    <t>0,2*0,2   přístavba NU   </t>
  </si>
  <si>
    <t>0,36*0,36   kuchyně   </t>
  </si>
  <si>
    <t>0,36*0,36   spoj. krček   </t>
  </si>
  <si>
    <t>(1,2+0,9+1,2+0,9)*1*0,15   okno 1) 1,2/0,9   </t>
  </si>
  <si>
    <t>(0,6+0,9+0,6+0,9)*1*0,15   okno 2) 0,6/0,9   </t>
  </si>
  <si>
    <t>(6,0+2,35+4,5+0,6+1,5+2,95)*4*0,15   okno 3.1+3.2) 4,5/2,35+1,5/2,95   </t>
  </si>
  <si>
    <t>(6,0+2,35+6,0+2,35)*4*0,15   okno 4) 6,0/2,35   </t>
  </si>
  <si>
    <t>(0,9+0,9+0,9+0,9)*4*10*0,15   okno 5) 0,9/0,9   </t>
  </si>
  <si>
    <t>(1,8+2,95+1,8+2,95)*4*0,15   dveře 6) 1,8/2,95   </t>
  </si>
  <si>
    <t>(2,7+0,9+2,7+0,9)*8*0,15   okno 7) 2,7/0,9   </t>
  </si>
  <si>
    <t>(2,4+0,9+2,4+0,9)*4*0,15   okno 8) 2,4/0,9   </t>
  </si>
  <si>
    <t>(1,8+0,9+1,8+0,9)*1*0,15   okno 9) 1,8/0,9   </t>
  </si>
  <si>
    <t>(0,6+0,9+0,6+0,9)*1*0,15   okno 10) 0,6/0,9   </t>
  </si>
  <si>
    <t>(1,2+0,9+1,2+0,9)*1   okno 1) 1,2/0,9   </t>
  </si>
  <si>
    <t>(0,6+0,9+0,6+0,9)*1   okno 2) 0,6/0,9   </t>
  </si>
  <si>
    <t>(6,0+2,35+4,5+0,6+1,5+2,95)*4   okno 3.1+3.2) 4,5/2,35+1,5/2,95   </t>
  </si>
  <si>
    <t>(6,0+2,35+6,0+2,35)*4   okno 4) 6,0/2,35   </t>
  </si>
  <si>
    <t>(0,9+0,9+0,9+0,9)*4*10   okno 5) 0,9/0,9   </t>
  </si>
  <si>
    <t>(1,8+2,95+1,8+2,95)*4   dveře 6) 1,8/2,95   </t>
  </si>
  <si>
    <t>(2,7+0,9+2,7+0,9)*8   okno 7) 2,7/0,9   </t>
  </si>
  <si>
    <t>(2,4+0,9+2,4+0,9)*4   okno 8) 2,4/0,9   </t>
  </si>
  <si>
    <t>(1,8+0,9+1,8+0,9)*1   okno 9) 1,8/0,9   </t>
  </si>
  <si>
    <t>(0,6+0,9+0,6+0,9)*1   okno 10) 0,6/0,9   </t>
  </si>
  <si>
    <t>1,2*0,9*1   okno 1) 1,2/0,9   </t>
  </si>
  <si>
    <t>0,6*0,9*1   okno 2) 0,6/0,9   </t>
  </si>
  <si>
    <t>(4,5*2,35+1,5*2,95)*4   okno 3.1+3.2) 4,5/2,35+1,5/2,95   </t>
  </si>
  <si>
    <t>6,0*2,35*4   okno 4) 6,0/2,35   </t>
  </si>
  <si>
    <t>0,9*0,9*(4*10+17)   okno 5) 0,9/0,9   </t>
  </si>
  <si>
    <t>1,8*2,95*(4*1+2)   dveře 6) 1,8/2,95   </t>
  </si>
  <si>
    <t>2,7*0,9*8   okno 7) 2,7/0,9   </t>
  </si>
  <si>
    <t>2,4*0,9*4   okno 8) 2,4/0,9   </t>
  </si>
  <si>
    <t>1,8*0,9*1   okno 9) 1,8/0,9   </t>
  </si>
  <si>
    <t>0,6*0,9*1   okno 10) 0,6/0,9   </t>
  </si>
  <si>
    <t>(1,8*0,9+0,9*2,035)*1   okno 7a) 1,8/0,9+0,9/2,035   </t>
  </si>
  <si>
    <t>1,8*1,5*1   okno 11) 1,8/1,5   </t>
  </si>
  <si>
    <t>1,8*1,45*1   okno 12) 1,8/1,45   </t>
  </si>
  <si>
    <t>3,5*1,5*1   okno 13) 3,5/1,5   </t>
  </si>
  <si>
    <t>0,4*0,6   HDS   </t>
  </si>
  <si>
    <t>0,6*1,7   HUP   </t>
  </si>
  <si>
    <t>(869,7805+275,0495+18,54+55,29)*0,2   20% z plochy   </t>
  </si>
  <si>
    <t>8*(3,0+0,2)      </t>
  </si>
  <si>
    <t>2*(3,0+0,2)      </t>
  </si>
  <si>
    <t>;ztratné 10%; 2,56      </t>
  </si>
  <si>
    <t>;ztratné 10%; 0,64      </t>
  </si>
  <si>
    <t>19,285*2*4   učebny   </t>
  </si>
  <si>
    <t>9,92*3,9*4      </t>
  </si>
  <si>
    <t>19,285*2   kuchyně   </t>
  </si>
  <si>
    <t>12,32*3,9      </t>
  </si>
  <si>
    <t>2,635+11,56+9,05+8,71+2,635+9,05+9,05   spoj. krček   </t>
  </si>
  <si>
    <t>2   zvonky kuchyně   </t>
  </si>
  <si>
    <t>4*1   videokomunikátor učebny   </t>
  </si>
  <si>
    <t>4*1   osvětlení vstupu učebny   </t>
  </si>
  <si>
    <t>2+1   osvětlení vstupu kuchyně   </t>
  </si>
  <si>
    <t>   30mm   </t>
  </si>
  <si>
    <t>0,8*5*4   učebny   </t>
  </si>
  <si>
    <t>0,3*4      </t>
  </si>
  <si>
    <t>1,0      </t>
  </si>
  <si>
    <t>0,3*9   kuchyně   </t>
  </si>
  <si>
    <t>0,5      </t>
  </si>
  <si>
    <t>   160mm   </t>
  </si>
  <si>
    <t>(19,285-1,5+9,92+19,285-1,8)*4   učebny   </t>
  </si>
  <si>
    <t>0,405      </t>
  </si>
  <si>
    <t>19,285-1,8+12,32+19,285-1,8   kuchyně   </t>
  </si>
  <si>
    <t>;ztratné 10%; 30,295      </t>
  </si>
  <si>
    <t>19,285*0,85*2*4   učebny   </t>
  </si>
  <si>
    <t>-2,2*0,85*4   MW   </t>
  </si>
  <si>
    <t>3,05*0,3*4      </t>
  </si>
  <si>
    <t>3,05*0,965*4      </t>
  </si>
  <si>
    <t>(4,5+6,0)*0,7*4      </t>
  </si>
  <si>
    <t>(6,0+6,0+6,0+4,0)*3,05*4      </t>
  </si>
  <si>
    <t>-0,9*0,9*10*4   okno 5) 0,9/0,9   </t>
  </si>
  <si>
    <t>0,435*3,05*4*4      </t>
  </si>
  <si>
    <t>0,565*3,05*4      </t>
  </si>
  <si>
    <t>(0,565-0,2)*3,05*4      </t>
  </si>
  <si>
    <t>0,405*3,9      </t>
  </si>
  <si>
    <t>19,285*0,85*2   kuchyně   </t>
  </si>
  <si>
    <t>-2,2*0,85*2   MW   </t>
  </si>
  <si>
    <t>-3,3*2,05   přístavba   </t>
  </si>
  <si>
    <t>-1,2*0,9   okno 1) 1,2/0,9   </t>
  </si>
  <si>
    <t>-0,6*0,9   okno 2) 0,6/0,9   </t>
  </si>
  <si>
    <t>3,05*0,3      </t>
  </si>
  <si>
    <t>(6,0+6,0+4,0+6,0+4,0+6,0)*3,05      </t>
  </si>
  <si>
    <t>-0,9*0,9*17   okno 5) 0,9/0,9   </t>
  </si>
  <si>
    <t>-1,8*1,5   okno 11) 1,8/1,5   </t>
  </si>
  <si>
    <t>-1,8*1,45   okno 12) 1,8/1,45   </t>
  </si>
  <si>
    <t>-3,5*1,5   okno 13) 3,5/1,5   </t>
  </si>
  <si>
    <t>0,435*3,05*2      </t>
  </si>
  <si>
    <t>(0,435-0,2)*3,05*2      </t>
  </si>
  <si>
    <t>0,565*3,05*2      </t>
  </si>
  <si>
    <t>(2,635+11,56+9,05+8,71+2,635+9,05+9,05)*3,0   spoj. krček   </t>
  </si>
  <si>
    <t>-2,7*0,9*8   okno 7) 2,7/0,9   </t>
  </si>
  <si>
    <t>-2,4*0,9*4   okno 8) 2,4/0,9   </t>
  </si>
  <si>
    <t>-1,8*0,9*1   okno 9) 1,8/0,9   </t>
  </si>
  <si>
    <t>-0,6*0,9*1   okno 10) 0,6/0,9   </t>
  </si>
  <si>
    <t>-(1,8*0,9+0,9*2,035)*1   okno 7a) 1,8/0,9+0,9/2,035   </t>
  </si>
  <si>
    <t>0,6*(12,32+4*9,92)      </t>
  </si>
  <si>
    <t>(0,9+1,2+0,9)*0,4*1   okno 1) 1,2/0,9   </t>
  </si>
  <si>
    <t>O2_O*0,4*1   okno 2) 0,6/0,9   </t>
  </si>
  <si>
    <t>(2,35+6,0+0,6)*0,35*4   okno 3.1+3.2) 4,5/2,35+1,5/2,95   </t>
  </si>
  <si>
    <t>(2,35+6,0+2,35)*0,35*4   okno 4) 6,0/2,35   </t>
  </si>
  <si>
    <t>(0,9+0,9+0,9)*0,35*(4*10+17)   okno 5) 0,9/0,9   </t>
  </si>
  <si>
    <t>(0,9+2,7+0,9)*0,35*8   okno 7) 2,7/0,9   </t>
  </si>
  <si>
    <t>(0,9+2,4+0,9)*0,35*4   okno 8) 2,4/0,9   </t>
  </si>
  <si>
    <t>(0,9+1,8+0,9)*0,35*1   okno 9) 1,8/0,9   </t>
  </si>
  <si>
    <t>(0,9+0,6+0,9)*0,35*1   okno 10) 0,6/0,9   </t>
  </si>
  <si>
    <t>(0,9+1,8+0,9+2,035+1,135)*0,35*1   okno 7a) 1,8/0,9+0,9/2,035   </t>
  </si>
  <si>
    <t>(1,5+1,8+1,5)*0,35*1   okno 11) 1,8/1,5   </t>
  </si>
  <si>
    <t>(1,45+1,8+1,45)*0,35*1   okno 12) 1,8/1,45   </t>
  </si>
  <si>
    <t>(1,5+3,5+1,5)*0,35*1   okno 13) 3,5/1,5   </t>
  </si>
  <si>
    <t>0,8*(3,05+6,0+3,05)*2*4   učebny, zdi+podhledy   </t>
  </si>
  <si>
    <t>0,8*(3,05+6,0)*1*4      </t>
  </si>
  <si>
    <t>0,3*(3,05+6,0)*1*4      </t>
  </si>
  <si>
    <t>0,3*(3,05+6,0+3,05)*1*4      </t>
  </si>
  <si>
    <t>0,3*(3,05+4,0)*1*4      </t>
  </si>
  <si>
    <t>1,0*3,9      </t>
  </si>
  <si>
    <t>0,3*(3,05+4,0)*2   kuchyně, zdi+podhledy   </t>
  </si>
  <si>
    <t>0,3*(3,05+6,0+3,05)*3      </t>
  </si>
  <si>
    <t>0,3*(3,05+6,0)*1      </t>
  </si>
  <si>
    <t>0,5*3,9      </t>
  </si>
  <si>
    <t>1,2*0,4*1   okno 1) 1,2/0,9   </t>
  </si>
  <si>
    <t>0,6*0,4*1   okno 2) 0,6/0,9   </t>
  </si>
  <si>
    <t>4,5*0,35*4   okno 3.1+3.2) 4,5/2,35+1,5/2,95   </t>
  </si>
  <si>
    <t>6,0*0,35*4   okno 4) 6,0/2,35   </t>
  </si>
  <si>
    <t>0,9*0,35*(4*10+17)   okno 5) 0,9/0,9   </t>
  </si>
  <si>
    <t>2,7*0,35*8   okno 7) 2,7/0,9   </t>
  </si>
  <si>
    <t>2,4*0,35*4   okno 8) 2,4/0,9   </t>
  </si>
  <si>
    <t>1,8*0,35*1   okno 9) 1,8/0,9   </t>
  </si>
  <si>
    <t>0,6*0,35*1   okno 10) 0,6/0,9   </t>
  </si>
  <si>
    <t>1,8*0,35*1   okno 7a) 1,8/0,9+0,9/2,035   </t>
  </si>
  <si>
    <t>1,8*0,35*1   okno 11) 1,8/1,5   </t>
  </si>
  <si>
    <t>1,8*0,35*1   okno 12) 1,8/1,45   </t>
  </si>
  <si>
    <t>3,5*0,35*1   okno 13) 3,5/1,5   </t>
  </si>
  <si>
    <t>1*0,4*1   okno 1) 1,2/0,9   </t>
  </si>
  <si>
    <t>1*0,4*1   okno 2) 0,6/0,9   </t>
  </si>
  <si>
    <t>1*0,35*4   okno 3.1+3.2) 4,5/2,35+1,5/2,95   </t>
  </si>
  <si>
    <t>2*0,35*4   okno 4) 6,0/2,35   </t>
  </si>
  <si>
    <t>2*0,35*(4*10+17)   okno 5) 0,9/0,9   </t>
  </si>
  <si>
    <t>2*0,35*8   okno 7) 2,7/0,9   </t>
  </si>
  <si>
    <t>2*0,35*4   okno 8) 2,4/0,9   </t>
  </si>
  <si>
    <t>2*0,35*1   okno 9) 1,8/0,9   </t>
  </si>
  <si>
    <t>2*0,35*1   okno 10) 0,6/0,9   </t>
  </si>
  <si>
    <t>1*0,35*1   okno 7a) 1,8/0,9+0,9/2,035   </t>
  </si>
  <si>
    <t>2*0,35*1   okno 11) 1,8/1,5   </t>
  </si>
  <si>
    <t>2*0,35*1   okno 12) 1,8/1,45   </t>
  </si>
  <si>
    <t>2*0,35*1   okno 13) 3,5/1,5   </t>
  </si>
  <si>
    <t>;ztratné 10%; 5,715      </t>
  </si>
  <si>
    <t>2,2*0,85*4   učebny, vstupy   </t>
  </si>
  <si>
    <t>(0,2*3,05+0,2*3,05)*4      </t>
  </si>
  <si>
    <t>2,2*0,85*2   kuchyně, vstupy   </t>
  </si>
  <si>
    <t>(0,2*3,05+0,2*3,05)*2      </t>
  </si>
  <si>
    <t>0,3*(3,05+2,0)*1*4   učebny, zdi+podhledy   </t>
  </si>
  <si>
    <t>1,0*(2,95+1,8+2,95)*1*4      </t>
  </si>
  <si>
    <t>0,3*(3,05+2,0)*2   kuchyně, zdi+podhledy   </t>
  </si>
  <si>
    <t>1,0*(2,95+1,8+2,95)*2      </t>
  </si>
  <si>
    <t>(869,7805+275,0495+18,54+55,29)*0,05   5% z plochy   </t>
  </si>
  <si>
    <t>   10% z celkové délky připojovací spáry   </t>
  </si>
  <si>
    <t>(1,2+0,9+1,2+0,9)*1*0,1   okno 1) 1,2/0,9   </t>
  </si>
  <si>
    <t>(0,6+0,9+0,6+0,9)*1*0,1   okno 2) 0,6/0,9   </t>
  </si>
  <si>
    <t>(6,0+2,35+4,5+0,6+1,5+2,95)*4*0,1   okno 3.1+3.2) 4,5/2,35+1,5/2,95   </t>
  </si>
  <si>
    <t>(6,0+2,35+6,0+2,35)*4*0,1   okno 4) 6,0/2,35   </t>
  </si>
  <si>
    <t>(0,9+0,9+0,9+0,9)*4*10*0,1   okno 5) 0,9/0,9   </t>
  </si>
  <si>
    <t>(1,8+2,95+1,8+2,95)*4*0,1   dveře 6) 1,8/2,95   </t>
  </si>
  <si>
    <t>(2,7+0,9+2,7+0,9)*8*0,1   okno 7) 2,7/0,9   </t>
  </si>
  <si>
    <t>(2,4+0,9+2,4+0,9)*4*0,1   okno 8) 2,4/0,9   </t>
  </si>
  <si>
    <t>(1,8+0,9+1,8+0,9)*1*0,1   okno 9) 1,8/0,9   </t>
  </si>
  <si>
    <t>(0,6+0,9+0,6+0,9)*1*0,1   okno 10) 0,6/0,9   </t>
  </si>
  <si>
    <t>(0,8*0,2)*5*4   učebny   </t>
  </si>
  <si>
    <t>(0,3*0,2)*4*4      </t>
  </si>
  <si>
    <t>(0,3*0,2)*9   kuchyně   </t>
  </si>
  <si>
    <t>0,2*(4*(19,5+9,6+19,5))   tl.60   </t>
  </si>
  <si>
    <t>0,2*(2,475+11,7+10,15+9,35+2,475+10,15+9,65)   tl.60   </t>
  </si>
  <si>
    <t>0,2*(19,5+12,0-3,3+19,5)   tl.60   </t>
  </si>
  <si>
    <t>1,0*291,0   základová konstrukce   </t>
  </si>
  <si>
    <t>(1,4*291,0)*2   svislá hydroizolace   </t>
  </si>
  <si>
    <t>;ztratné 10%; 81,48      </t>
  </si>
  <si>
    <t>4*9,6+1*12,0      </t>
  </si>
  <si>
    <t>8*1,055      </t>
  </si>
  <si>
    <t>1,95*1   okno 1) 1,2/0,9   </t>
  </si>
  <si>
    <t>0*1   okno 2) 0,6/0,9   </t>
  </si>
  <si>
    <t>4,55*4   okno 3.1+3.2) 4,5/2,35+1,5/2,95   </t>
  </si>
  <si>
    <t>4,55*4   okno 4) 6,0/2,35   </t>
  </si>
  <si>
    <t>0,9*(4*10+17)   okno 5) 0,9/0,9   </t>
  </si>
  <si>
    <t>2,7*8   okno 7) 2,7/0,9   </t>
  </si>
  <si>
    <t>2,4*4   okno 8) 2,4/0,9   </t>
  </si>
  <si>
    <t>1,8*1   okno 9) 1,8/0,9   </t>
  </si>
  <si>
    <t>0,6*1   okno 10) 0,6/0,9   </t>
  </si>
  <si>
    <t>1,85*1   okno 7a) 1,8/0,9+0,9/2,035   </t>
  </si>
  <si>
    <t>1,8*1   okno 11) 1,8/1,5   </t>
  </si>
  <si>
    <t>1,8*1   okno 12) 1,8/1,45   </t>
  </si>
  <si>
    <t>3,5*1   okno 13) 3,5/1,5   </t>
  </si>
  <si>
    <t>6,0*4   okno 4) 6,0/2,35   </t>
  </si>
  <si>
    <t>4*(20,3+10,6+20,3+10,6)   učebny   </t>
  </si>
  <si>
    <t>20,3+13,0+20,3+13,0   kuchyně   </t>
  </si>
  <si>
    <t>2,795+12,0+9,25+9,25+9,25+9,15+2,795   spoj. krček   </t>
  </si>
  <si>
    <t>(23+12+23+12)*4   učebny   </t>
  </si>
  <si>
    <t>23+14+23+14   kuchyně   </t>
  </si>
  <si>
    <t>5+16+15+13+13+14+5   spoj. krček   </t>
  </si>
  <si>
    <t>4*(20,6+10,9+20,6+10,9)   učebny   </t>
  </si>
  <si>
    <t>20,6+13,3+20,6+13,3   kuchyně   </t>
  </si>
  <si>
    <t>2,945+12,15+9,25+9,25+9,25+9,3+2,945   spoj. krček   </t>
  </si>
  <si>
    <t>11*4   učebny   </t>
  </si>
  <si>
    <t>14,5   kuchyně   </t>
  </si>
  <si>
    <t>21,0   spoj. krček   </t>
  </si>
  <si>
    <t>2*4   učebny   </t>
  </si>
  <si>
    <t>0   spoj. krček   </t>
  </si>
  <si>
    <t>4*4   učebny   </t>
  </si>
  <si>
    <t>4   kuchyně   </t>
  </si>
  <si>
    <t>5   spoj. krček   </t>
  </si>
  <si>
    <t>63,0*4   učebny   </t>
  </si>
  <si>
    <t>67,8   kuchyně   </t>
  </si>
  <si>
    <t>55,09   spoj. krček   </t>
  </si>
  <si>
    <t>61,8*4   učebny   </t>
  </si>
  <si>
    <t>66,6   kuchyně   </t>
  </si>
  <si>
    <t>54,59   spoj. krček   </t>
  </si>
  <si>
    <t>61,8*4/2   učebny   </t>
  </si>
  <si>
    <t>66,6/2   kuchyně   </t>
  </si>
  <si>
    <t>54,59/2   spoj. krček   </t>
  </si>
  <si>
    <t>;ztratné 10%; 18,4195      </t>
  </si>
  <si>
    <t>   10% nová krytina   </t>
  </si>
  <si>
    <t>(20,3*10,6)*4*0,1   střecha učebny   </t>
  </si>
  <si>
    <t>(20,3*13,0)*0,1   střecha kuchaně   </t>
  </si>
  <si>
    <t>(((2,795+0,5)*(12,0+9,25+9,25+9,25+9,15)))*0,1   střecha spoj. krček   </t>
  </si>
  <si>
    <t>((20,3*10,6)*4*0,1)/2   střecha učebny   </t>
  </si>
  <si>
    <t>((20,3*13,0)*0,1)/2   střecha kuchaně   </t>
  </si>
  <si>
    <t>((((2,795+0,5)*(12,0+9,25+9,25+9,25+9,15)))*0,1)/2   střecha spoj. krček   </t>
  </si>
  <si>
    <t>   90% stávající krytina - překotvení   </t>
  </si>
  <si>
    <t>(20,3*10,6)*4*0,9   střecha učebny   </t>
  </si>
  <si>
    <t>(20,3*13,0)*0,9   střecha kuchaně   </t>
  </si>
  <si>
    <t>(((2,795+0,5)*(12,0+9,25+9,25+9,25+9,15)))*0,9   střecha spoj. krček   </t>
  </si>
  <si>
    <t>4*2*0,8   učebny   </t>
  </si>
  <si>
    <t>2*0,8   kuchyně   </t>
  </si>
  <si>
    <t>1,4      </t>
  </si>
  <si>
    <t>4*2   učebny   </t>
  </si>
  <si>
    <t>2   kuchyně   </t>
  </si>
  <si>
    <t>4*1*0,8+0,8   učebny   </t>
  </si>
  <si>
    <t>1*0,8   kuchyně   </t>
  </si>
  <si>
    <t>4*10   větrací mřížky učebny   </t>
  </si>
  <si>
    <t>10+2+1   kuchyně   </t>
  </si>
  <si>
    <t>4+1   spoj. krček   </t>
  </si>
  <si>
    <t>10+2   kuchyně   </t>
  </si>
  <si>
    <t>4   spoj. krček   </t>
  </si>
  <si>
    <t>   0,5m/mřížku   </t>
  </si>
  <si>
    <t>4*10*0,5   větrací mřížky učebny   </t>
  </si>
  <si>
    <t>(10+2)*0,5   kuchyně   </t>
  </si>
  <si>
    <t>4*0,5   spoj. krček   </t>
  </si>
  <si>
    <t>10   kuchyně   </t>
  </si>
  <si>
    <t>4*0,9*0,9   D1   </t>
  </si>
  <si>
    <t>1,9*0,9      </t>
  </si>
  <si>
    <t>1,9*2,1      </t>
  </si>
  <si>
    <t>4*0,9*0,9      </t>
  </si>
  <si>
    <t>4*(0,9*4)      </t>
  </si>
  <si>
    <t>1,9+0,9      </t>
  </si>
  <si>
    <t>9,0   trubka 2,0m   </t>
  </si>
  <si>
    <t>4*(1,8*2,95)   dveře 6) 1,8/2,95   </t>
  </si>
  <si>
    <t>4*2*(1,0+1,3)   vstupy učebny   </t>
  </si>
  <si>
    <t>2*(1,0+1,3)   vstupy kuchyně   </t>
  </si>
  <si>
    <t>2*0,3   vstupy spoj. krček   </t>
  </si>
  <si>
    <t>   1 kus/5bm spáry   </t>
  </si>
  <si>
    <t>4*2*(1,0+1,3)/5   vstupy učebny   </t>
  </si>
  <si>
    <t>2*(1,0+1,3)/5   vstupy kuchyně   </t>
  </si>
  <si>
    <t>2*0,3/5   vstupy spoj. krček   </t>
  </si>
  <si>
    <t>4*2*(1,0+1,3)*0,1   vstupy učebny   </t>
  </si>
  <si>
    <t>2*(1,0+1,3)*0,1   vstupy kuchyně   </t>
  </si>
  <si>
    <t>2*0,3*0,1   vstupy spoj. krček   </t>
  </si>
  <si>
    <t>;ztratné 10%; 0,236      </t>
  </si>
  <si>
    <t>4*2*(1,0+1,3)*2/3   vstupy učebny   </t>
  </si>
  <si>
    <t>2*(1,0+1,3)*2/3   vstupy kuchyně   </t>
  </si>
  <si>
    <t>2*0,3*2/3   vstupy spoj. krček   </t>
  </si>
  <si>
    <t>4*(0,4+0,15+0,35+1,3+0,15)   terasa/teren schody sokl/fasáda   </t>
  </si>
  <si>
    <t>4*(0,4+0,15+0,35+1,3+0,15)/5   terasa/teren schody sokl/fasáda   </t>
  </si>
  <si>
    <t>4*(0,9+1,69)   terasa/teren schody   </t>
  </si>
  <si>
    <t>4*(0,9+1,69)*0,3   terasa/teren schody   </t>
  </si>
  <si>
    <t>;ztratné 10%; 0,3108      </t>
  </si>
  <si>
    <t>4*(0,6+1,34)   terasa/teren schody   </t>
  </si>
  <si>
    <t>4*(0,9+1,69)*0,15   terasa/teren schody   </t>
  </si>
  <si>
    <t>4*(0,6+1,34)*0,15   terasa/teren schody   </t>
  </si>
  <si>
    <t>;ztratné 10%; 0,2718      </t>
  </si>
  <si>
    <t>4*(0,4+0,15+0,35+1,3+0,15)   terasa/teren schody sokl   </t>
  </si>
  <si>
    <t>4*(0,4+0,15+0,35+1,3+0,15)*0,1   terasa/teren schody sokl   </t>
  </si>
  <si>
    <t>;ztratné 10%; 0,094      </t>
  </si>
  <si>
    <t>4*(0,4+0,15+0,35+1,3+0,15)*2/3   terasa/teren schody sokl   </t>
  </si>
  <si>
    <t>4*(0,9+1,69)*1/2   terasa/teren schody podstupnice   </t>
  </si>
  <si>
    <t>4*(0,6+1,34)*1/2   terasa/teren schody podstupnice   </t>
  </si>
  <si>
    <t>4*(0,6+1,34)   terasa/teren schody stupnice/podstupnice   </t>
  </si>
  <si>
    <t>4*(0,4+0,15+0,35+1,3+0,15)   terasa/teren schody dlažba/sokl   </t>
  </si>
  <si>
    <t>4*(0,9*1,34)   terasa/teren podesta   </t>
  </si>
  <si>
    <t>;ztratné 10%; 0,4824      </t>
  </si>
  <si>
    <t>2*4*0,9*0,9   mříže   </t>
  </si>
  <si>
    <t>2*1,9*0,9      </t>
  </si>
  <si>
    <t>2*1,9*2,1      </t>
  </si>
  <si>
    <t>100*0,2   zastřešení (bm*rš)   </t>
  </si>
  <si>
    <t>(20,3*10,6)*4   střecha učebny   </t>
  </si>
  <si>
    <t>(20,3*13,0)   střecha kuchaně   </t>
  </si>
  <si>
    <t>(((2,795+0,5)*(12,0+9,25+9,25+9,25+9,15)))   střecha spoj. krček   </t>
  </si>
  <si>
    <t>(20,3+10,6+20,3+10,6)*0,5*4   střecha učebny   </t>
  </si>
  <si>
    <t>(23+12+23+12)*(0,3*0,5)*4   krokve   </t>
  </si>
  <si>
    <t>(20,3+13,0+20,3+13,0)*0,5   střecha kuchyně   </t>
  </si>
  <si>
    <t>(23+14+23+14)*(0,3*0,5)   krokve   </t>
  </si>
  <si>
    <t>(2,795+12,0+9,25+9,25+9,25+9,15+2,795)*0,5   střecha spoj. krček   </t>
  </si>
  <si>
    <t>(5+16+15+13+13+14+5)*(0,3*0,5)   krokve   </t>
  </si>
  <si>
    <t>4*3      </t>
  </si>
  <si>
    <t>4*1      </t>
  </si>
  <si>
    <t>4*2*2,0*(19,5+1,0)   učebny   </t>
  </si>
  <si>
    <t>4*2,0*(10,0+1,0+1,0)      </t>
  </si>
  <si>
    <t>2*2,0*(19,5+1,0)   kuchyně   </t>
  </si>
  <si>
    <t>2,0*(12,5+1,0+1,0)      </t>
  </si>
  <si>
    <t>2,0*(3,0+1,0+11,5+1,0+9,0+9,0+1,0+2,5+1,0+9,0+9,0)   spoj. krček   </t>
  </si>
  <si>
    <t>19,0*9,1*4   střecha učebny   </t>
  </si>
  <si>
    <t>19,0*11,5   střecha kuchaně   </t>
  </si>
  <si>
    <t>47,8*2,275   střecha spoj. krček   </t>
  </si>
  <si>
    <t>4*(19,5*8,5)   učebny   </t>
  </si>
  <si>
    <t>19,5*11,4   kuchyně   </t>
  </si>
  <si>
    <t>2,475*48,2   spoj. krček   </t>
  </si>
  <si>
    <t>1,925*0,9   kuchyně rastrovaná výplň okna 1) a 2)   </t>
  </si>
  <si>
    <t>1*(0,8+1,1)   vstupy kuchyně   </t>
  </si>
  <si>
    <t>4*(1,5*0,06*0,09)   okno 3.1+3.2) 4,5/2,35+1,5/2,95   </t>
  </si>
  <si>
    <t>1*2   okno 1   </t>
  </si>
  <si>
    <t>1*1   okno 2   </t>
  </si>
  <si>
    <t>4*4   okno 3   </t>
  </si>
  <si>
    <t>4*4   okno 4   </t>
  </si>
  <si>
    <t>40*1   okno 5   </t>
  </si>
  <si>
    <t>8*3   okno 7   </t>
  </si>
  <si>
    <t>4*3   okno 8   </t>
  </si>
  <si>
    <t>1*2   okno 9   </t>
  </si>
  <si>
    <t>1*1   okno 10   </t>
  </si>
  <si>
    <t>4*3   okno 3   </t>
  </si>
  <si>
    <t>4*3   okno 4   </t>
  </si>
  <si>
    <t>4*2   okno 3   </t>
  </si>
  <si>
    <t>4*2   okno 4   </t>
  </si>
  <si>
    <t>1*(0,6*0,9)   okno 2   </t>
  </si>
  <si>
    <t>40*(0,9*0,9)   okno 5   </t>
  </si>
  <si>
    <t>1*(0,6*0,9)   okno 10   </t>
  </si>
  <si>
    <t>1*(1,2*0,9)   okno 1   </t>
  </si>
  <si>
    <t>1*(1,8*0,9)   okno 9   </t>
  </si>
  <si>
    <t>4*3*(1,5*2,35)   okno 3   </t>
  </si>
  <si>
    <t>4*3*(1,5*2,35)   okno 4   </t>
  </si>
  <si>
    <t>8*(2,7*0,9)   okno 7   </t>
  </si>
  <si>
    <t>4*(2,4*0,9)   okno 8   </t>
  </si>
  <si>
    <t>4*(1,5*2,95)   okno 3   </t>
  </si>
  <si>
    <t>4*(1,5*2,95)   okno 4   </t>
  </si>
  <si>
    <t>4*2   dveře 6   </t>
  </si>
  <si>
    <t>4*(1,8*2,95)   dveře 6   </t>
  </si>
  <si>
    <t>0*1   okno 1   </t>
  </si>
  <si>
    <t>0*1   okno 2   </t>
  </si>
  <si>
    <t>0*4   okno 3.1+3.2   </t>
  </si>
  <si>
    <t>0*4   okno 4   </t>
  </si>
  <si>
    <t>0,9*4*10   okno 5   </t>
  </si>
  <si>
    <t>2,7*8   okno 7   </t>
  </si>
  <si>
    <t>2,4*4   okno 8   </t>
  </si>
  <si>
    <t>1,8*1   okno 9   </t>
  </si>
  <si>
    <t>0,6*1   okno 10   </t>
  </si>
  <si>
    <t>3*(19,125*0,3*0,5+3*(1,3*0,375*0,5))   základ terasa   </t>
  </si>
  <si>
    <t>1*(19,5*0,3*0,5+4*(1,3*0,375*0,5))   základ terasa   </t>
  </si>
  <si>
    <t>3*(19,125*2,4+2*1,5*0,165-3*0,375*0,8)*0,08   terasa   </t>
  </si>
  <si>
    <t>1*(19,125*2,4+2*1,5*0,165-3*0,375*0,8+0,375*1,6)*0,08   terasa   </t>
  </si>
  <si>
    <t>3*(19,125+(6*0,8)+(4*0,165)-(2*1,5)+1,6)   sokl terasy   </t>
  </si>
  <si>
    <t>1*(19,125+(6*0,8)+(4*0,165)-(2*1,5)+0,375)   sokl terasy   </t>
  </si>
  <si>
    <t>3*(19,125*2,4+2*1,5*0,165-3*0,375*0,8)   terasa   </t>
  </si>
  <si>
    <t>1*(19,125*2,4+2*1,5*0,165-3*0,375*0,8+0,375*1,6)   terasa   </t>
  </si>
  <si>
    <t>4*(3*6,0*2,1)*0,15   terasa   </t>
  </si>
  <si>
    <t>1,2   spoj. krček   </t>
  </si>
  <si>
    <t>(869,7805+275,0495+18,54+55,29)      </t>
  </si>
  <si>
    <t>11,0+2,7+2,1   chodník dlažba kuchyně   </t>
  </si>
  <si>
    <t>(1,5*11,0+1,0*2,0)   chodník dlažba kuchyně   </t>
  </si>
  <si>
    <t>400   zastřešení u kuchyně   </t>
  </si>
  <si>
    <t>1,5*3,0+1,5*13,0      </t>
  </si>
  <si>
    <t>6,85464*15      </t>
  </si>
  <si>
    <t>6,85464*4      </t>
  </si>
  <si>
    <t>7,20892*15      </t>
  </si>
  <si>
    <t>7,20892*4      </t>
  </si>
  <si>
    <t>9,4233*15      </t>
  </si>
  <si>
    <t>9,4233*4      </t>
  </si>
  <si>
    <t>0,00276*4      </t>
  </si>
  <si>
    <t>96,97429*15      </t>
  </si>
  <si>
    <t>96,97429*4      </t>
  </si>
  <si>
    <t>0,94117*15      </t>
  </si>
  <si>
    <t>0,94117*4      </t>
  </si>
  <si>
    <t>26,28*15      </t>
  </si>
  <si>
    <t>26,28*4      </t>
  </si>
  <si>
    <t>19,0*9,1*4*0,3   střecha učebny   </t>
  </si>
  <si>
    <t>19,0*11,5*0,3   střecha kuchaně   </t>
  </si>
  <si>
    <t>47,8*2,275*0,3   střecha spoj. krček   </t>
  </si>
  <si>
    <t>4*(0,3*1,5)   tl.30   </t>
  </si>
  <si>
    <t>4*(0,8*0,95*5+0,3*0,95*4)   tl.30   </t>
  </si>
  <si>
    <t>4*(0,3*0,95*9)   tl.30   </t>
  </si>
  <si>
    <t>(1,15-0,2)*(4*(19,5+9,6+19,5))   tl.60   </t>
  </si>
  <si>
    <t>(1,15-0,2)*(2,475+11,7+10,15+9,35+2,475+10,15+9,65)   tl.60   </t>
  </si>
  <si>
    <t>(1,15-0,2)*(19,5+12,0-3,3+19,5)   tl.60   </t>
  </si>
  <si>
    <t>0,2*(4*(9,6+19,5))   tl.80   </t>
  </si>
  <si>
    <t>0,2*(2,475+11,7+10,15+9,35+2,475+10,15+9,65)   tl.80   </t>
  </si>
  <si>
    <t>0,2*(12,0-3,3+19,5+19,5)   tl.80   </t>
  </si>
  <si>
    <t>;ztratné 10%; 3,182      </t>
  </si>
  <si>
    <t>;ztratné 10%; 28,31475      </t>
  </si>
  <si>
    <t>;ztratné 10%; 4,401      </t>
  </si>
  <si>
    <t>5*4+3      </t>
  </si>
  <si>
    <t>(4*1+1)*(2*1,0*0,2)   revizní vstupy - zpevnění bednění   </t>
  </si>
  <si>
    <t>(5*4+3)*(2*0,7*0,2)   ventilační turbína - zpevnění bednění   </t>
  </si>
  <si>
    <t>(4*1+1)*(0,6*0,6)   revizní vstupy   </t>
  </si>
  <si>
    <t>5*(0,6*0,6)   montážní otvory   </t>
  </si>
  <si>
    <t>(5*4+3)*(3,14*0,3*0,3/4)   ventilační turbína   </t>
  </si>
  <si>
    <t>5*(12,0*0,5)   revizní trasy   </t>
  </si>
  <si>
    <t>5*(12,0*0,5)*2   revizní trasy   </t>
  </si>
  <si>
    <t>;ztratné 10%; 6      </t>
  </si>
  <si>
    <t>5*(12,0+0,5+12,0+0,5)   rám pro revizní trasy   </t>
  </si>
  <si>
    <t>5*0,3*(12,0+0,5+12,0+0,5)   rám pro revizní trasy   </t>
  </si>
  <si>
    <t>4*1+1   revizní vstupy   </t>
  </si>
  <si>
    <t>5*(4*0,65*0,15)   dřevěný rám revizního vstupu   </t>
  </si>
  <si>
    <t>5*(0,65*0,65)   poklop revizního vstupu   </t>
  </si>
  <si>
    <t>;ztratné 10%; 0,40625      </t>
  </si>
  <si>
    <t>1,2*0,2*1   okno 1) 1,2/0,9   </t>
  </si>
  <si>
    <t>0,6*0,2*1   okno 2) 0,6/0,9   </t>
  </si>
  <si>
    <t>6,0*0,1*4   okno 3.1+3.2) 4,5/2,35+1,5/2,95   </t>
  </si>
  <si>
    <t>6,0*0,1*4   okno 4) 6,0/2,35   </t>
  </si>
  <si>
    <t>0,6*0,2*4*10   okno 5) 0,9/0,9   </t>
  </si>
  <si>
    <t>1,8*0,1*4   dveře 6) 1,8/2,95   </t>
  </si>
  <si>
    <t>2,7*0,2*8   okno 7) 2,7/0,9   </t>
  </si>
  <si>
    <t>2,4*0,2*4   okno 8) 2,4/0,9   </t>
  </si>
  <si>
    <t>1,8*0,2*1   okno 9) 1,8/0,9   </t>
  </si>
  <si>
    <t>0,6*0,2*1   okno 10) 0,6/0,9   </t>
  </si>
  <si>
    <t>(1,5*0,5)*4   dozdívka parapetu okna 4)   </t>
  </si>
  <si>
    <t>4*(0,9*0,35+0,35*1,34)   terasa/teren schody   </t>
  </si>
  <si>
    <t>4*(0,9*1,34)   terasa/teren schody   </t>
  </si>
  <si>
    <t>4*(0,9+1,69+0,9)   terasa/teren schody   </t>
  </si>
  <si>
    <t>4*(0,9+1,34+0,9)   terasa/teren schody   </t>
  </si>
  <si>
    <t>4*1,5   dveře   </t>
  </si>
  <si>
    <t>4*1,5/10   1 kus/10bm   </t>
  </si>
  <si>
    <t>4*2      </t>
  </si>
  <si>
    <t>(1,4*291,0)   svislá hydroizolace   </t>
  </si>
  <si>
    <t>(1,4*291,0)*0,4   svislá hydroizolace spotřeba 0,4kg/m2   </t>
  </si>
  <si>
    <t>1,0*291,0   svislá hydroizolace   </t>
  </si>
  <si>
    <t>5+2+1      </t>
  </si>
  <si>
    <t>1+2      </t>
  </si>
  <si>
    <t>1   okno 1) 1,2/0,9   </t>
  </si>
  <si>
    <t>1   okno 2) 0,6/0,9   </t>
  </si>
  <si>
    <t>4*10   okno 5) 0,9/0,9   </t>
  </si>
  <si>
    <t>1   okno 10) 0,6/0,9   </t>
  </si>
  <si>
    <t>8   okno 7) 2,7/0,9   </t>
  </si>
  <si>
    <t>4   okno 8) 2,4/0,9   </t>
  </si>
  <si>
    <t>1   okno 9) 1,8/0,9   </t>
  </si>
  <si>
    <t>4*3   okno 3.1+3.2) 4,5/2,35+1,5/2,95   </t>
  </si>
  <si>
    <t>4*4   okno 4) 6,0/2,35   </t>
  </si>
  <si>
    <t>4*1   okno 3.1+3.2) 4,5/2,35+1,5/2,95   </t>
  </si>
  <si>
    <t>0,6*1   okno 2) 0,6/0,9   </t>
  </si>
  <si>
    <t>0,9*4*10   okno 5) 0,9/0,9   </t>
  </si>
  <si>
    <t>1,2*1   okno 1) 1,2/0,9   </t>
  </si>
  <si>
    <t>4*2   okno 3.1+3.2) 4,5/2,35+1,5/2,95   </t>
  </si>
  <si>
    <t>4*2   okno 4) 6,0/2,35   </t>
  </si>
  <si>
    <t>2,25*4*2   okno 3.1+3.2) 4,5/2,35+1,5/2,95   </t>
  </si>
  <si>
    <t>3*4*2   okno 4) 6,0/2,35   </t>
  </si>
  <si>
    <t>4*1   okno 4) 6,0/2,35   </t>
  </si>
  <si>
    <t>4*(4,5*0,6)   okno 3.1+3.2) 4,5/2,35+1,5/2,95   </t>
  </si>
  <si>
    <t>4*(4,5*0,6)   okno 4) 6,0/2,35   </t>
  </si>
  <si>
    <t>4*(1,0*1,2+1,8*1,2+1,0*0,8+1,0*1,2+1,0*1,2+4,5*0,8+4,5*0,8+4,5*0,81,0*0,8)   učebny OT   </t>
  </si>
  <si>
    <t>3*(1,0*0,8)+4*(1,0*1,2)   kuchyně OT   </t>
  </si>
  <si>
    <t>14*(1,5*0,8)   spoj. krček OT   </t>
  </si>
  <si>
    <t>4*2,95*(1,8+1,8)   učebny 101   </t>
  </si>
  <si>
    <t>4*2,95*3,95   učebny 102   </t>
  </si>
  <si>
    <t>4*(4*0,9*0,9)      </t>
  </si>
  <si>
    <t>4*1,5*(4,125+2,94+4,125+2,94)   učebny 103   </t>
  </si>
  <si>
    <t>4*(3*0,9*0,9)      </t>
  </si>
  <si>
    <t>4*1,2*(4,125+1,92+4,125+1,92)   učebny 104   </t>
  </si>
  <si>
    <t>4*(2*0,9*0,9)      </t>
  </si>
  <si>
    <t>4*1,2*(1,625+0,89+1,625+0,89)   učebny 105   </t>
  </si>
  <si>
    <t>4*(1*0,9*0,9)      </t>
  </si>
  <si>
    <t>4*2,95*6,0   učebny 106   </t>
  </si>
  <si>
    <t>4*(1*2,35*6,0)      </t>
  </si>
  <si>
    <t>4*2,95*6,0   učebny 107   </t>
  </si>
  <si>
    <t>4*(2,35*4,5+2,95*1,5)      </t>
  </si>
  <si>
    <t>2,95*1,8   kuchyně 101   </t>
  </si>
  <si>
    <t>2*0,9*0,9   kuchyně 103   </t>
  </si>
  <si>
    <t>1,8*(1,92+4,56+1,92+4,56)   kuchyně 104   </t>
  </si>
  <si>
    <t>2*0,9*0,9      </t>
  </si>
  <si>
    <t>2,0*(1,92+4,04+1,92+4,04)   kuchyně 106   </t>
  </si>
  <si>
    <t>1,8*(2,935+3,05+2,935+3,05)   kuchyně 107   </t>
  </si>
  <si>
    <t>3*0,9*0,9      </t>
  </si>
  <si>
    <t>1,8*(2,94+3,05+2,94+3,05)   kuchyně 108   </t>
  </si>
  <si>
    <t>1,1*6,0+1,8*(7,57+6,0+7,57)   kuchyně 109   </t>
  </si>
  <si>
    <t>1*3,5*1,5      </t>
  </si>
  <si>
    <t>1*0,9*1,2      </t>
  </si>
  <si>
    <t>2*0,9*0,9   kuchyně 110   </t>
  </si>
  <si>
    <t>2*0,9*0,9   kuchyně 111   </t>
  </si>
  <si>
    <t>2,95*2,4   kuchyně 112   </t>
  </si>
  <si>
    <t>1*1,2*0,9      </t>
  </si>
  <si>
    <t>2,0*(1,025+0,9+1,025)   kuchyně 115   </t>
  </si>
  <si>
    <t>2,0*(1,4+0,9+1,4+0,9)   kuchyně 116   </t>
  </si>
  <si>
    <t>1*0,6*0,9      </t>
  </si>
  <si>
    <t>2,0*(1,4+0,9+1,4+0,9)   kuchyně 117   </t>
  </si>
  <si>
    <t>1*1,8*1,45   kuchyně 118   </t>
  </si>
  <si>
    <t>1*1,8*1,5   kuchyně 119   </t>
  </si>
  <si>
    <t>1,2*(1,15+0,9+1,15+0,9)   spoj. krček 102   </t>
  </si>
  <si>
    <t>2,3*10,0   spoj. krček 104   </t>
  </si>
  <si>
    <t>5*2,7*0,9+4*2,4*0,9+2*1,8*0,9+1*0,9*2,035+1*0,9*1,2      </t>
  </si>
  <si>
    <t>1,1*(2,1+5,775+2,1)   spoj. krček 105   </t>
  </si>
  <si>
    <t>2*0,9*2,7+1*0,9*1,2      </t>
  </si>
  <si>
    <t>0,6*0,9   spoj. krček 106   </t>
  </si>
  <si>
    <t>4*(5,39+13,83+14,41+7,92+1,45+47,07+47,07)   učebny   </t>
  </si>
  <si>
    <t>7,3+10,8+8,51+8,76+7,72+7,76+8,95+8,97+45,42+13,45+8,76+4,35+8,75+4,94+0,81+1,26+1,26+7,76+11,71   k   </t>
  </si>
  <si>
    <t>1,39+1,04+8,27+71,75+12,13+4,44   spoj. krček   </t>
  </si>
  <si>
    <t>4*2,95*(2,4+2,4)   učebny 101   </t>
  </si>
  <si>
    <t>4*2,4*1,8      </t>
  </si>
  <si>
    <t>4*2,95*(3,5+3,95+3,5)   učebny 102   </t>
  </si>
  <si>
    <t>4*((3,5-1,36)*3,95)      </t>
  </si>
  <si>
    <t>4*1,45*(4,125+2,94+4,125+3,955+1,0+0,89+1,0)   učebny 103   </t>
  </si>
  <si>
    <t>4*((4,125-1,375)*2,94)      </t>
  </si>
  <si>
    <t>4*(1,0*0,89)      </t>
  </si>
  <si>
    <t>4*1,75*(4,125+1,92+4,125+1,92)   učebny 104   </t>
  </si>
  <si>
    <t>4*(4,125*1,92-(0,78*0,83+1,92*1,385))      </t>
  </si>
  <si>
    <t>4*1,75*(1,625+0,89+1,625+0,89)   učebny 105   </t>
  </si>
  <si>
    <t>4*1,625*0,89      </t>
  </si>
  <si>
    <t>4*2,95*(7,845+6,0+7,845)   učebny 106   </t>
  </si>
  <si>
    <t>4*0,6*6,0      </t>
  </si>
  <si>
    <t>4*(7,845-4,8+0,3+0,3)*6,0)      </t>
  </si>
  <si>
    <t>4*2,95*(7,845+6,0+7,845)   učebny 107   </t>
  </si>
  <si>
    <t>4*0,6*4,5      </t>
  </si>
  <si>
    <t>2,95*(4,055+1,8+4,055)   kuchyně 101   </t>
  </si>
  <si>
    <t>4,055*1,8      </t>
  </si>
  <si>
    <t>2,95*(6,0+1,8+6,0+1,8)   kuchyně 102   </t>
  </si>
  <si>
    <t>6,0*1,8      </t>
  </si>
  <si>
    <t>2,95*(4,56+1,905+4,56+1,905)   kuchyně 103   </t>
  </si>
  <si>
    <t>4,56*1,905      </t>
  </si>
  <si>
    <t>1,2*(4,56+1,92+4,56+1,92)   kuchyně 104   </t>
  </si>
  <si>
    <t>4,56*1,92      </t>
  </si>
  <si>
    <t>0,95*(4,04+1,91+4,04+1,91)   kuchyně 105   </t>
  </si>
  <si>
    <t>4,04*1,91      </t>
  </si>
  <si>
    <t>0,95*(4,04+1,92+4,04+1,92)   kuchyně 106   </t>
  </si>
  <si>
    <t>4,04*1,92      </t>
  </si>
  <si>
    <t>1,15*(2,935+3,05+2,935+3,05)   kuchyně 107   </t>
  </si>
  <si>
    <t>2,935*3,05      </t>
  </si>
  <si>
    <t>1,15*(2,94+3,05+2,94+3,05)   kuchyně 108   </t>
  </si>
  <si>
    <t>2,94*3,05      </t>
  </si>
  <si>
    <t>1,85*6,0   kuchyně 109   </t>
  </si>
  <si>
    <t>1,15*(7,57+6,0+7,57)      </t>
  </si>
  <si>
    <t>7,57*6,0      </t>
  </si>
  <si>
    <t>2,95*(3,955+3,4+3,955+3,4)   kuchyně 110   </t>
  </si>
  <si>
    <t>3,955*3,4      </t>
  </si>
  <si>
    <t>2,95*(4,56+1,905+4,56+1,905)   kuchyně 111   </t>
  </si>
  <si>
    <t>2,95*(3,955+1,1+3,955-2,4+1,1)   kuchyně 112   </t>
  </si>
  <si>
    <t>3,955*1,1      </t>
  </si>
  <si>
    <t>2,95*(4,86+1,8+4,86+1,8)   kuchyně 113   </t>
  </si>
  <si>
    <t>4,86*1,8      </t>
  </si>
  <si>
    <t>2,95*(3,95-2,45+1,25+3,95+1,25)   kuchyně 114   </t>
  </si>
  <si>
    <t>3,95*1,25      </t>
  </si>
  <si>
    <t>0,95*(1,025+1,025)   kuchyně 115   </t>
  </si>
  <si>
    <t>1,025*0,9      </t>
  </si>
  <si>
    <t>0,95*(1,4+0,9+1,4+0,9)   kuchyně 116   </t>
  </si>
  <si>
    <t>1,4*0,9      </t>
  </si>
  <si>
    <t>0,95*(1,4+0,9+1,4+0,9)   kuchyně 117   </t>
  </si>
  <si>
    <t>2,95*(1,92+4,04+1,92+4,04)   kuchyně 118   </t>
  </si>
  <si>
    <t>1,92*4,04      </t>
  </si>
  <si>
    <t>2,95*(3,95+2,965+3,95+2,965)   kuchyně 119   </t>
  </si>
  <si>
    <t>3,95*2,965      </t>
  </si>
  <si>
    <t>2,3*(1,215+1,14+1,215+1,14)   spoj. krček 101   </t>
  </si>
  <si>
    <t>1,215*1,14      </t>
  </si>
  <si>
    <t>1,1*(1,15+0,9+1,15+0,9)   spoj. krček 102   </t>
  </si>
  <si>
    <t>1,15*0,9      </t>
  </si>
  <si>
    <t>2,3*(3,94+2,1+3,94+2,1)   spoj. krček 103   </t>
  </si>
  <si>
    <t>3,94*2,1      </t>
  </si>
  <si>
    <t>2,3*(34,165+2,1+34,165+2,1)   spoj. krček 104   </t>
  </si>
  <si>
    <t>34,165*2,1      </t>
  </si>
  <si>
    <t>2,3*(2,1+5,775+2,1+5,775)   spoj. krček 105   </t>
  </si>
  <si>
    <t>5,775*2,1      </t>
  </si>
  <si>
    <t>2,3*(2,1+2,115+2,1+2,115)   spoj. krček 106   </t>
  </si>
  <si>
    <t>2,115*2,1      </t>
  </si>
  <si>
    <t>4*1   zahradní ventil   </t>
  </si>
  <si>
    <t>4*1   zahradní ventil - zazátkování   </t>
  </si>
  <si>
    <t>2*(3*6,0*2,1)*0,35   terasa   </t>
  </si>
  <si>
    <t>(0,6*1,0)*(2,2+2,1+1,7+3,0+2,2)   napojení na D. kanalizaci   </t>
  </si>
  <si>
    <t>(0,8*(0,6+1,0)/2)*291,0   drenáž   </t>
  </si>
  <si>
    <t>4*(0,9*1,69*0,1)   terasa/teren schody   </t>
  </si>
  <si>
    <t>4*0,1*(0,9+1,69+0,9)   terasa/teren schody   </t>
  </si>
  <si>
    <t>4*(0,9*1,69*0,135)   terasa/teren schody   </t>
  </si>
  <si>
    <t>4*(0,9*1,34*0,15)   terasa/teren schody   </t>
  </si>
  <si>
    <t>   2,105kg/m2   </t>
  </si>
  <si>
    <t>4*(0,9*1,69)*2,105/1000   terasa/teren schody   </t>
  </si>
  <si>
    <t>4*(0,9*1,34)*2,105/1000   terasa/teren schody   </t>
  </si>
  <si>
    <t>4*0,15*(0,9+1,69+0,9)   terasa/teren schody   </t>
  </si>
  <si>
    <t>4*0,15*(0,9+1,34+0,9)   terasa/teren schody   </t>
  </si>
  <si>
    <t>0,6*(4*(19,5-2,1+9,6))   okap. chodník pavilon učebny   </t>
  </si>
  <si>
    <t>0,6*(2,475+11,7+10,15-2,4+2,475+10,15-2,4+9,65)   okap. chodník spoj. krček   </t>
  </si>
  <si>
    <t>0,6*(19,5+12,0-3,3+4,5)   okap. chodník kuchyně   </t>
  </si>
  <si>
    <t>((2,8*1,6+1,9*1,5+(4,0+3,0)/2*1,5+2,3*1,5+7,5*1,0+3,7*2,3+3,7*2,1+1,5*2,0+1,5*1,0))   chodníky asfal   </t>
  </si>
  <si>
    <t>1+1      </t>
  </si>
  <si>
    <t>21*1,0+2*3,0      </t>
  </si>
  <si>
    <t>1,0+1,0      </t>
  </si>
  <si>
    <t>0,15*0,6*(4*(19,5-2,1+9,6))   okap. chodník pavilon učebny   </t>
  </si>
  <si>
    <t>0,15*0,6*(2,475+11,7+10,15-2,4+2,475+10,15-2,4+9,65)   okap. chodník spoj. krček   </t>
  </si>
  <si>
    <t>0,15*0,6*(19,5+12,0-3,3+4,5)   okap. chodník kuchyně   </t>
  </si>
  <si>
    <t>(0,12*(0,6+0,7)/2)*291,0   drenáž lože   </t>
  </si>
  <si>
    <t>((0,3+0,4)/2*(0,7+0,8)/2)*291,0   drenáž obsyp   </t>
  </si>
  <si>
    <t>0,6*0,1*(2,2+2,1+1,7+3,0+2,2)   napojení na D. kanalizaci lože   </t>
  </si>
  <si>
    <t>0,6*0,4*(2,2+2,1+1,7+3,0+2,2)   napojení na D. kanalizaci obsyp   </t>
  </si>
  <si>
    <t>-(0,12*(0,6+0,7)/2)*291,0   drenáž lože   </t>
  </si>
  <si>
    <t>-((0,3+0,4)/2*(0,7+0,8)/2)*291,0   drenáž obsyp   </t>
  </si>
  <si>
    <t>-0,6*0,1*(2,2+2,1+1,7+3,0+2,2)   napojení na D. kanalizaci lože   </t>
  </si>
  <si>
    <t>-0,6*0,4*(2,2+2,1+1,7+3,0+2,2)   napojení na D. kanalizaci obsyp   </t>
  </si>
  <si>
    <t>0,6*0,4*(2,2+2,1+1,7+3,0+2,2)*1,8   napojení na D. kanalizaci obsyp 1,8t/m3   </t>
  </si>
  <si>
    <t>((0,3+0,4)/2*(0,7+0,8)/2)*291,0*1,8   drenáž obsyp 1,8t/m3   </t>
  </si>
  <si>
    <t>5,0*4,0   ZS   </t>
  </si>
  <si>
    <t>   1kg/25m2   </t>
  </si>
  <si>
    <t>0,6*(4*(19,5-2,1+9,6))/25   okap. chodník pavilon učebny   </t>
  </si>
  <si>
    <t>0,6*(2,475+11,7+10,15-2,4+2,475+10,15-2,4+9,65)/25   okap. chodník spoj. krček   </t>
  </si>
  <si>
    <t>0,6*(19,5+12,0-3,3+4,5)/25   okap. chodník kuchyně   </t>
  </si>
  <si>
    <t>5,0*4,0/25   ZS   </t>
  </si>
  <si>
    <t>2,0*291,0   separační vrstva drenáže   </t>
  </si>
  <si>
    <t>;ztratné 10%; 58,2      </t>
  </si>
  <si>
    <t>0,6*(4*(19,5-2,1+9,6))*7   okap. chodník pavilon učebny   </t>
  </si>
  <si>
    <t>0,6*(2*(19,5-1,85))*7   okap. chodník pavilon učebny - místo terasy   </t>
  </si>
  <si>
    <t>0,6*(2,475+11,7+10,15-1,0+2,475+10,15-2,4+9,65)*7   okap. chodník spoj. krček   </t>
  </si>
  <si>
    <t>0,6*(19,5+12,0-3,3+4,5)*7   okap. chodník kuchyně   </t>
  </si>
  <si>
    <t>(((19,025*2,3)-(3*0,4*0,8)-(1,85*1,08)))*2   terasy   </t>
  </si>
  <si>
    <t>   dobetonávky okapového chodníku 10% z plochy   </t>
  </si>
  <si>
    <t>0,6*(4*(19,5-2,1+9,6))*0,1   okap. chodník pavilon učebny   </t>
  </si>
  <si>
    <t>0,6*(2*(19,5-1,85))*0,1   okap. chodník pavilon učebny - místo terasy   </t>
  </si>
  <si>
    <t>0,6*(2,475+11,7+10,15-1,0+2,475+10,15-2,4+9,65)*0,1   okap. chodník spoj. krček   </t>
  </si>
  <si>
    <t>0,6*(19,5+12,0-3,3+4,5)*0,1   okap. chodník kuchyně   </t>
  </si>
  <si>
    <t>;ztratné 5%; 4,07995      </t>
  </si>
  <si>
    <t>((19,025+2,3+19,025+2,3)+(5*0,8)+(1*1,08))*2   terasy   </t>
  </si>
  <si>
    <t>(1,5*11,0+1,0*2,0)   chodník dlažba kuchyně - předlažba   </t>
  </si>
  <si>
    <t>0,6*(2*(19,5-1,85))   okap. chodník pavilon učebny - místo terasy   </t>
  </si>
  <si>
    <t>0,6*(2,475+11,7+10,15-1,0+2,475+10,15-2,4+9,65)   okap. chodník spoj. krček   </t>
  </si>
  <si>
    <t>;ztratné 5%; 6,576      </t>
  </si>
  <si>
    <t>3   kuchyně   </t>
  </si>
  <si>
    <t>6   spoj. krček   </t>
  </si>
  <si>
    <t>2,2+2,1+1,7+3,0+2,2   napojení na D. kanalizaci   </t>
  </si>
  <si>
    <t>(2,2+2,1+1,7+3,0+2,2)/2   napojení na D. kanalizaci lože   </t>
  </si>
  <si>
    <t>6   0,5m/šachtu 21*0,5/2=5,25   </t>
  </si>
  <si>
    <t>(19,025+2,3-0,8)*2   terasy   </t>
  </si>
  <si>
    <t>3,2+1,6+4,0+2,3+2,6+2,6+2,3+1,5+1,5+1,5+1,5      </t>
  </si>
  <si>
    <t>0.5*80   </t>
  </si>
  <si>
    <t>2+2   </t>
  </si>
  <si>
    <t>1+1   </t>
  </si>
  <si>
    <t>36   </t>
  </si>
  <si>
    <t>44   </t>
  </si>
  <si>
    <t>A+B   Celkem:</t>
  </si>
  <si>
    <t>35+1   </t>
  </si>
  <si>
    <t>35   </t>
  </si>
  <si>
    <t>4*8   </t>
  </si>
  <si>
    <t>Potřebné množství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</si>
</sst>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0"/>
      <color indexed="8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i/>
      <sz val="8"/>
      <color indexed="8"/>
      <name val="Arial"/>
      <charset val="238"/>
    </font>
    <font>
      <b/>
      <sz val="11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4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b/>
      <sz val="10"/>
      <color indexed="54"/>
      <name val="Arial"/>
      <charset val="238"/>
    </font>
    <font>
      <b/>
      <sz val="10"/>
      <color indexed="56"/>
      <name val="Arial"/>
      <charset val="238"/>
    </font>
    <font>
      <i/>
      <sz val="10"/>
      <color indexed="58"/>
      <name val="Arial"/>
      <charset val="238"/>
    </font>
    <font>
      <i/>
      <sz val="10"/>
      <color indexed="59"/>
      <name val="Arial"/>
      <charset val="238"/>
    </font>
    <font>
      <i/>
      <sz val="9"/>
      <color indexed="61"/>
      <name val="Arial"/>
      <charset val="238"/>
    </font>
    <font>
      <i/>
      <sz val="9"/>
      <color indexed="62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indexed="57"/>
        <bgColor indexed="9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4">
    <xf numFmtId="0" fontId="1" fillId="0" borderId="0" xfId="0" applyFont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left" vertical="center"/>
    </xf>
    <xf numFmtId="49" fontId="4" fillId="0" borderId="8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vertical="center"/>
    </xf>
    <xf numFmtId="0" fontId="1" fillId="0" borderId="11" xfId="0" applyNumberFormat="1" applyFont="1" applyFill="1" applyBorder="1" applyAlignment="1" applyProtection="1">
      <alignment vertical="center"/>
    </xf>
    <xf numFmtId="49" fontId="6" fillId="0" borderId="15" xfId="0" applyNumberFormat="1" applyFont="1" applyFill="1" applyBorder="1" applyAlignment="1" applyProtection="1">
      <alignment horizontal="left" vertical="center"/>
    </xf>
    <xf numFmtId="49" fontId="5" fillId="0" borderId="6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/>
    </xf>
    <xf numFmtId="4" fontId="5" fillId="0" borderId="6" xfId="0" applyNumberFormat="1" applyFont="1" applyFill="1" applyBorder="1" applyAlignment="1" applyProtection="1">
      <alignment horizontal="right" vertical="center"/>
    </xf>
    <xf numFmtId="49" fontId="5" fillId="0" borderId="6" xfId="0" applyNumberFormat="1" applyFont="1" applyFill="1" applyBorder="1" applyAlignment="1" applyProtection="1">
      <alignment horizontal="right" vertical="center"/>
    </xf>
    <xf numFmtId="4" fontId="5" fillId="0" borderId="22" xfId="0" applyNumberFormat="1" applyFont="1" applyFill="1" applyBorder="1" applyAlignment="1" applyProtection="1">
      <alignment horizontal="right" vertical="center"/>
    </xf>
    <xf numFmtId="0" fontId="1" fillId="0" borderId="2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13" xfId="0" applyNumberFormat="1" applyFont="1" applyFill="1" applyBorder="1" applyAlignment="1" applyProtection="1">
      <alignment vertical="center"/>
    </xf>
    <xf numFmtId="4" fontId="4" fillId="2" borderId="16" xfId="0" applyNumberFormat="1" applyFont="1" applyFill="1" applyBorder="1" applyAlignment="1" applyProtection="1">
      <alignment horizontal="right" vertical="center"/>
    </xf>
    <xf numFmtId="49" fontId="1" fillId="0" borderId="27" xfId="0" applyNumberFormat="1" applyFont="1" applyFill="1" applyBorder="1" applyAlignment="1" applyProtection="1">
      <alignment horizontal="left" vertical="center"/>
    </xf>
    <xf numFmtId="49" fontId="9" fillId="0" borderId="28" xfId="0" applyNumberFormat="1" applyFont="1" applyFill="1" applyBorder="1" applyAlignment="1" applyProtection="1">
      <alignment horizontal="left" vertical="center"/>
    </xf>
    <xf numFmtId="49" fontId="1" fillId="0" borderId="29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9" fillId="0" borderId="31" xfId="0" applyNumberFormat="1" applyFont="1" applyFill="1" applyBorder="1" applyAlignment="1" applyProtection="1">
      <alignment horizontal="center" vertical="center"/>
    </xf>
    <xf numFmtId="49" fontId="9" fillId="0" borderId="22" xfId="0" applyNumberFormat="1" applyFont="1" applyFill="1" applyBorder="1" applyAlignment="1" applyProtection="1">
      <alignment horizontal="center" vertical="center"/>
    </xf>
    <xf numFmtId="49" fontId="9" fillId="0" borderId="35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23" xfId="0" applyNumberFormat="1" applyFont="1" applyFill="1" applyBorder="1" applyAlignment="1" applyProtection="1">
      <alignment horizontal="right" vertical="center"/>
    </xf>
    <xf numFmtId="4" fontId="1" fillId="0" borderId="24" xfId="0" applyNumberFormat="1" applyFont="1" applyFill="1" applyBorder="1" applyAlignment="1" applyProtection="1">
      <alignment horizontal="right" vertical="center"/>
    </xf>
    <xf numFmtId="4" fontId="1" fillId="0" borderId="25" xfId="0" applyNumberFormat="1" applyFont="1" applyFill="1" applyBorder="1" applyAlignment="1" applyProtection="1">
      <alignment horizontal="right" vertical="center"/>
    </xf>
    <xf numFmtId="4" fontId="9" fillId="0" borderId="10" xfId="0" applyNumberFormat="1" applyFont="1" applyFill="1" applyBorder="1" applyAlignment="1" applyProtection="1">
      <alignment horizontal="right" vertical="center"/>
    </xf>
    <xf numFmtId="49" fontId="1" fillId="0" borderId="36" xfId="0" applyNumberFormat="1" applyFont="1" applyFill="1" applyBorder="1" applyAlignment="1" applyProtection="1">
      <alignment horizontal="left" vertical="center"/>
    </xf>
    <xf numFmtId="49" fontId="9" fillId="0" borderId="37" xfId="0" applyNumberFormat="1" applyFont="1" applyFill="1" applyBorder="1" applyAlignment="1" applyProtection="1">
      <alignment horizontal="left" vertical="center"/>
    </xf>
    <xf numFmtId="49" fontId="9" fillId="0" borderId="27" xfId="0" applyNumberFormat="1" applyFont="1" applyFill="1" applyBorder="1" applyAlignment="1" applyProtection="1">
      <alignment horizontal="left" vertical="center"/>
    </xf>
    <xf numFmtId="49" fontId="1" fillId="0" borderId="28" xfId="0" applyNumberFormat="1" applyFont="1" applyFill="1" applyBorder="1" applyAlignment="1" applyProtection="1">
      <alignment horizontal="left" vertical="center"/>
    </xf>
    <xf numFmtId="49" fontId="10" fillId="3" borderId="29" xfId="0" applyNumberFormat="1" applyFont="1" applyFill="1" applyBorder="1" applyAlignment="1" applyProtection="1">
      <alignment horizontal="left" vertical="center"/>
    </xf>
    <xf numFmtId="49" fontId="11" fillId="4" borderId="3" xfId="0" applyNumberFormat="1" applyFont="1" applyFill="1" applyBorder="1" applyAlignment="1" applyProtection="1">
      <alignment horizontal="left" vertical="center"/>
    </xf>
    <xf numFmtId="49" fontId="12" fillId="0" borderId="3" xfId="0" applyNumberFormat="1" applyFont="1" applyFill="1" applyBorder="1" applyAlignment="1" applyProtection="1">
      <alignment horizontal="left" vertical="center"/>
    </xf>
    <xf numFmtId="49" fontId="13" fillId="0" borderId="3" xfId="0" applyNumberFormat="1" applyFont="1" applyFill="1" applyBorder="1" applyAlignment="1" applyProtection="1">
      <alignment horizontal="left" vertical="center"/>
    </xf>
    <xf numFmtId="49" fontId="10" fillId="3" borderId="3" xfId="0" applyNumberFormat="1" applyFont="1" applyFill="1" applyBorder="1" applyAlignment="1" applyProtection="1">
      <alignment horizontal="left" vertical="center"/>
    </xf>
    <xf numFmtId="49" fontId="12" fillId="0" borderId="4" xfId="0" applyNumberFormat="1" applyFont="1" applyFill="1" applyBorder="1" applyAlignment="1" applyProtection="1">
      <alignment horizontal="left" vertical="center"/>
    </xf>
    <xf numFmtId="49" fontId="9" fillId="0" borderId="36" xfId="0" applyNumberFormat="1" applyFont="1" applyFill="1" applyBorder="1" applyAlignment="1" applyProtection="1">
      <alignment horizontal="left" vertical="center"/>
    </xf>
    <xf numFmtId="49" fontId="1" fillId="0" borderId="37" xfId="0" applyNumberFormat="1" applyFont="1" applyFill="1" applyBorder="1" applyAlignment="1" applyProtection="1">
      <alignment horizontal="left" vertical="center"/>
    </xf>
    <xf numFmtId="49" fontId="14" fillId="3" borderId="15" xfId="0" applyNumberFormat="1" applyFont="1" applyFill="1" applyBorder="1" applyAlignment="1" applyProtection="1">
      <alignment horizontal="left" vertical="center"/>
    </xf>
    <xf numFmtId="49" fontId="15" fillId="4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horizontal="left" vertical="center"/>
    </xf>
    <xf numFmtId="49" fontId="14" fillId="3" borderId="0" xfId="0" applyNumberFormat="1" applyFont="1" applyFill="1" applyBorder="1" applyAlignment="1" applyProtection="1">
      <alignment horizontal="left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right" vertical="top"/>
    </xf>
    <xf numFmtId="49" fontId="10" fillId="3" borderId="15" xfId="0" applyNumberFormat="1" applyFont="1" applyFill="1" applyBorder="1" applyAlignment="1" applyProtection="1">
      <alignment horizontal="left" vertical="center"/>
    </xf>
    <xf numFmtId="49" fontId="11" fillId="4" borderId="0" xfId="0" applyNumberFormat="1" applyFont="1" applyFill="1" applyBorder="1" applyAlignment="1" applyProtection="1">
      <alignment horizontal="left" vertical="center"/>
    </xf>
    <xf numFmtId="49" fontId="10" fillId="3" borderId="0" xfId="0" applyNumberFormat="1" applyFont="1" applyFill="1" applyBorder="1" applyAlignment="1" applyProtection="1">
      <alignment horizontal="left" vertical="center"/>
    </xf>
    <xf numFmtId="49" fontId="9" fillId="0" borderId="36" xfId="0" applyNumberFormat="1" applyFont="1" applyFill="1" applyBorder="1" applyAlignment="1" applyProtection="1">
      <alignment horizontal="center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4" fontId="13" fillId="0" borderId="0" xfId="0" applyNumberFormat="1" applyFont="1" applyFill="1" applyBorder="1" applyAlignment="1" applyProtection="1">
      <alignment horizontal="right" vertical="center"/>
    </xf>
    <xf numFmtId="4" fontId="12" fillId="0" borderId="1" xfId="0" applyNumberFormat="1" applyFont="1" applyFill="1" applyBorder="1" applyAlignment="1" applyProtection="1">
      <alignment horizontal="right" vertical="center"/>
    </xf>
    <xf numFmtId="49" fontId="9" fillId="0" borderId="38" xfId="0" applyNumberFormat="1" applyFont="1" applyFill="1" applyBorder="1" applyAlignment="1" applyProtection="1">
      <alignment horizontal="center" vertical="center"/>
    </xf>
    <xf numFmtId="49" fontId="9" fillId="0" borderId="39" xfId="0" applyNumberFormat="1" applyFont="1" applyFill="1" applyBorder="1" applyAlignment="1" applyProtection="1">
      <alignment horizontal="center" vertical="center"/>
    </xf>
    <xf numFmtId="49" fontId="9" fillId="0" borderId="40" xfId="0" applyNumberFormat="1" applyFont="1" applyFill="1" applyBorder="1" applyAlignment="1" applyProtection="1">
      <alignment horizontal="center" vertical="center"/>
    </xf>
    <xf numFmtId="49" fontId="9" fillId="0" borderId="41" xfId="0" applyNumberFormat="1" applyFont="1" applyFill="1" applyBorder="1" applyAlignment="1" applyProtection="1">
      <alignment horizontal="center" vertical="center"/>
    </xf>
    <xf numFmtId="49" fontId="14" fillId="3" borderId="23" xfId="0" applyNumberFormat="1" applyFont="1" applyFill="1" applyBorder="1" applyAlignment="1" applyProtection="1">
      <alignment horizontal="right" vertical="center"/>
    </xf>
    <xf numFmtId="49" fontId="15" fillId="4" borderId="24" xfId="0" applyNumberFormat="1" applyFont="1" applyFill="1" applyBorder="1" applyAlignment="1" applyProtection="1">
      <alignment horizontal="right" vertical="center"/>
    </xf>
    <xf numFmtId="49" fontId="12" fillId="0" borderId="24" xfId="0" applyNumberFormat="1" applyFont="1" applyFill="1" applyBorder="1" applyAlignment="1" applyProtection="1">
      <alignment horizontal="right" vertical="center"/>
    </xf>
    <xf numFmtId="49" fontId="13" fillId="0" borderId="24" xfId="0" applyNumberFormat="1" applyFont="1" applyFill="1" applyBorder="1" applyAlignment="1" applyProtection="1">
      <alignment horizontal="right" vertical="center"/>
    </xf>
    <xf numFmtId="49" fontId="14" fillId="3" borderId="24" xfId="0" applyNumberFormat="1" applyFont="1" applyFill="1" applyBorder="1" applyAlignment="1" applyProtection="1">
      <alignment horizontal="right" vertical="center"/>
    </xf>
    <xf numFmtId="49" fontId="12" fillId="0" borderId="25" xfId="0" applyNumberFormat="1" applyFont="1" applyFill="1" applyBorder="1" applyAlignment="1" applyProtection="1">
      <alignment horizontal="right" vertical="center"/>
    </xf>
    <xf numFmtId="49" fontId="15" fillId="4" borderId="0" xfId="0" applyNumberFormat="1" applyFont="1" applyFill="1" applyBorder="1" applyAlignment="1" applyProtection="1">
      <alignment horizontal="right" vertical="center"/>
    </xf>
    <xf numFmtId="49" fontId="12" fillId="0" borderId="0" xfId="0" applyNumberFormat="1" applyFont="1" applyFill="1" applyBorder="1" applyAlignment="1" applyProtection="1">
      <alignment horizontal="right" vertical="center"/>
    </xf>
    <xf numFmtId="49" fontId="13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9" fontId="9" fillId="0" borderId="0" xfId="0" applyNumberFormat="1" applyFont="1" applyFill="1" applyBorder="1" applyAlignment="1" applyProtection="1">
      <alignment horizontal="right" vertical="center"/>
    </xf>
    <xf numFmtId="4" fontId="14" fillId="3" borderId="15" xfId="0" applyNumberFormat="1" applyFont="1" applyFill="1" applyBorder="1" applyAlignment="1" applyProtection="1">
      <alignment horizontal="right" vertical="center"/>
    </xf>
    <xf numFmtId="4" fontId="15" fillId="4" borderId="0" xfId="0" applyNumberFormat="1" applyFont="1" applyFill="1" applyBorder="1" applyAlignment="1" applyProtection="1">
      <alignment horizontal="right" vertical="center"/>
    </xf>
    <xf numFmtId="4" fontId="14" fillId="3" borderId="0" xfId="0" applyNumberFormat="1" applyFont="1" applyFill="1" applyBorder="1" applyAlignment="1" applyProtection="1">
      <alignment horizontal="right" vertical="center"/>
    </xf>
    <xf numFmtId="49" fontId="9" fillId="0" borderId="42" xfId="0" applyNumberFormat="1" applyFont="1" applyFill="1" applyBorder="1" applyAlignment="1" applyProtection="1">
      <alignment horizontal="left" vertical="center"/>
    </xf>
    <xf numFmtId="49" fontId="15" fillId="4" borderId="29" xfId="0" applyNumberFormat="1" applyFont="1" applyFill="1" applyBorder="1" applyAlignment="1" applyProtection="1">
      <alignment horizontal="left" vertical="center"/>
    </xf>
    <xf numFmtId="49" fontId="15" fillId="4" borderId="3" xfId="0" applyNumberFormat="1" applyFont="1" applyFill="1" applyBorder="1" applyAlignment="1" applyProtection="1">
      <alignment horizontal="left" vertical="center"/>
    </xf>
    <xf numFmtId="49" fontId="9" fillId="0" borderId="43" xfId="0" applyNumberFormat="1" applyFont="1" applyFill="1" applyBorder="1" applyAlignment="1" applyProtection="1">
      <alignment horizontal="left" vertical="center"/>
    </xf>
    <xf numFmtId="49" fontId="15" fillId="4" borderId="15" xfId="0" applyNumberFormat="1" applyFont="1" applyFill="1" applyBorder="1" applyAlignment="1" applyProtection="1">
      <alignment horizontal="left" vertical="center"/>
    </xf>
    <xf numFmtId="49" fontId="9" fillId="0" borderId="43" xfId="0" applyNumberFormat="1" applyFont="1" applyFill="1" applyBorder="1" applyAlignment="1" applyProtection="1">
      <alignment horizontal="right" vertical="center"/>
    </xf>
    <xf numFmtId="49" fontId="15" fillId="4" borderId="15" xfId="0" applyNumberFormat="1" applyFont="1" applyFill="1" applyBorder="1" applyAlignment="1" applyProtection="1">
      <alignment horizontal="right" vertical="center"/>
    </xf>
    <xf numFmtId="4" fontId="18" fillId="0" borderId="0" xfId="0" applyNumberFormat="1" applyFont="1" applyFill="1" applyBorder="1" applyAlignment="1" applyProtection="1">
      <alignment horizontal="right" vertical="center"/>
    </xf>
    <xf numFmtId="4" fontId="19" fillId="0" borderId="0" xfId="0" applyNumberFormat="1" applyFont="1" applyFill="1" applyBorder="1" applyAlignment="1" applyProtection="1">
      <alignment horizontal="right" vertical="center"/>
    </xf>
    <xf numFmtId="49" fontId="9" fillId="0" borderId="46" xfId="0" applyNumberFormat="1" applyFont="1" applyFill="1" applyBorder="1" applyAlignment="1" applyProtection="1">
      <alignment horizontal="left" vertical="center"/>
    </xf>
    <xf numFmtId="49" fontId="15" fillId="4" borderId="23" xfId="0" applyNumberFormat="1" applyFont="1" applyFill="1" applyBorder="1" applyAlignment="1" applyProtection="1">
      <alignment horizontal="right" vertical="center"/>
    </xf>
    <xf numFmtId="4" fontId="12" fillId="0" borderId="24" xfId="0" applyNumberFormat="1" applyFont="1" applyFill="1" applyBorder="1" applyAlignment="1" applyProtection="1">
      <alignment horizontal="right" vertical="center"/>
    </xf>
    <xf numFmtId="4" fontId="13" fillId="0" borderId="24" xfId="0" applyNumberFormat="1" applyFont="1" applyFill="1" applyBorder="1" applyAlignment="1" applyProtection="1">
      <alignment horizontal="right" vertical="center"/>
    </xf>
    <xf numFmtId="4" fontId="12" fillId="0" borderId="25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49" fontId="1" fillId="0" borderId="18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24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 wrapText="1"/>
    </xf>
    <xf numFmtId="0" fontId="1" fillId="0" borderId="25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left" vertical="center"/>
    </xf>
    <xf numFmtId="0" fontId="7" fillId="0" borderId="16" xfId="0" applyNumberFormat="1" applyFont="1" applyFill="1" applyBorder="1" applyAlignment="1" applyProtection="1">
      <alignment horizontal="left" vertical="center"/>
    </xf>
    <xf numFmtId="49" fontId="5" fillId="0" borderId="9" xfId="0" applyNumberFormat="1" applyFont="1" applyFill="1" applyBorder="1" applyAlignment="1" applyProtection="1">
      <alignment horizontal="left" vertical="center"/>
    </xf>
    <xf numFmtId="0" fontId="5" fillId="0" borderId="16" xfId="0" applyNumberFormat="1" applyFont="1" applyFill="1" applyBorder="1" applyAlignment="1" applyProtection="1">
      <alignment horizontal="left" vertical="center"/>
    </xf>
    <xf numFmtId="49" fontId="4" fillId="0" borderId="9" xfId="0" applyNumberFormat="1" applyFont="1" applyFill="1" applyBorder="1" applyAlignment="1" applyProtection="1">
      <alignment horizontal="left" vertical="center"/>
    </xf>
    <xf numFmtId="0" fontId="4" fillId="0" borderId="16" xfId="0" applyNumberFormat="1" applyFont="1" applyFill="1" applyBorder="1" applyAlignment="1" applyProtection="1">
      <alignment horizontal="left" vertical="center"/>
    </xf>
    <xf numFmtId="49" fontId="4" fillId="2" borderId="9" xfId="0" applyNumberFormat="1" applyFont="1" applyFill="1" applyBorder="1" applyAlignment="1" applyProtection="1">
      <alignment horizontal="left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49" fontId="5" fillId="0" borderId="12" xfId="0" applyNumberFormat="1" applyFont="1" applyFill="1" applyBorder="1" applyAlignment="1" applyProtection="1">
      <alignment horizontal="left" vertical="center"/>
    </xf>
    <xf numFmtId="0" fontId="5" fillId="0" borderId="15" xfId="0" applyNumberFormat="1" applyFont="1" applyFill="1" applyBorder="1" applyAlignment="1" applyProtection="1">
      <alignment horizontal="left" vertical="center"/>
    </xf>
    <xf numFmtId="0" fontId="5" fillId="0" borderId="19" xfId="0" applyNumberFormat="1" applyFont="1" applyFill="1" applyBorder="1" applyAlignment="1" applyProtection="1">
      <alignment horizontal="left" vertical="center"/>
    </xf>
    <xf numFmtId="49" fontId="5" fillId="0" borderId="13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20" xfId="0" applyNumberFormat="1" applyFont="1" applyFill="1" applyBorder="1" applyAlignment="1" applyProtection="1">
      <alignment horizontal="left" vertical="center"/>
    </xf>
    <xf numFmtId="49" fontId="5" fillId="0" borderId="14" xfId="0" applyNumberFormat="1" applyFont="1" applyFill="1" applyBorder="1" applyAlignment="1" applyProtection="1">
      <alignment horizontal="left" vertical="center"/>
    </xf>
    <xf numFmtId="0" fontId="5" fillId="0" borderId="17" xfId="0" applyNumberFormat="1" applyFont="1" applyFill="1" applyBorder="1" applyAlignment="1" applyProtection="1">
      <alignment horizontal="left" vertical="center"/>
    </xf>
    <xf numFmtId="0" fontId="5" fillId="0" borderId="21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center"/>
    </xf>
    <xf numFmtId="0" fontId="1" fillId="0" borderId="18" xfId="0" applyNumberFormat="1" applyFont="1" applyFill="1" applyBorder="1" applyAlignment="1" applyProtection="1">
      <alignment horizontal="left" vertical="center"/>
    </xf>
    <xf numFmtId="0" fontId="1" fillId="0" borderId="26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horizontal="left" vertical="center"/>
    </xf>
    <xf numFmtId="0" fontId="1" fillId="0" borderId="33" xfId="0" applyNumberFormat="1" applyFont="1" applyFill="1" applyBorder="1" applyAlignment="1" applyProtection="1">
      <alignment horizontal="left" vertical="center"/>
    </xf>
    <xf numFmtId="49" fontId="1" fillId="0" borderId="29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0" fontId="1" fillId="0" borderId="19" xfId="0" applyNumberFormat="1" applyFont="1" applyFill="1" applyBorder="1" applyAlignment="1" applyProtection="1">
      <alignment horizontal="left" vertical="center"/>
    </xf>
    <xf numFmtId="49" fontId="9" fillId="0" borderId="30" xfId="0" applyNumberFormat="1" applyFont="1" applyFill="1" applyBorder="1" applyAlignment="1" applyProtection="1">
      <alignment horizontal="center" vertical="center"/>
    </xf>
    <xf numFmtId="0" fontId="9" fillId="0" borderId="32" xfId="0" applyNumberFormat="1" applyFont="1" applyFill="1" applyBorder="1" applyAlignment="1" applyProtection="1">
      <alignment horizontal="center" vertical="center"/>
    </xf>
    <xf numFmtId="0" fontId="9" fillId="0" borderId="34" xfId="0" applyNumberFormat="1" applyFont="1" applyFill="1" applyBorder="1" applyAlignment="1" applyProtection="1">
      <alignment horizontal="center" vertical="center"/>
    </xf>
    <xf numFmtId="49" fontId="9" fillId="0" borderId="26" xfId="0" applyNumberFormat="1" applyFont="1" applyFill="1" applyBorder="1" applyAlignment="1" applyProtection="1">
      <alignment horizontal="left" vertical="center"/>
    </xf>
    <xf numFmtId="0" fontId="9" fillId="0" borderId="17" xfId="0" applyNumberFormat="1" applyFont="1" applyFill="1" applyBorder="1" applyAlignment="1" applyProtection="1">
      <alignment horizontal="left" vertical="center"/>
    </xf>
    <xf numFmtId="0" fontId="9" fillId="0" borderId="21" xfId="0" applyNumberFormat="1" applyFont="1" applyFill="1" applyBorder="1" applyAlignment="1" applyProtection="1">
      <alignment horizontal="left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9" fillId="0" borderId="10" xfId="0" applyNumberFormat="1" applyFont="1" applyFill="1" applyBorder="1" applyAlignment="1" applyProtection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/>
    </xf>
    <xf numFmtId="49" fontId="9" fillId="0" borderId="29" xfId="0" applyNumberFormat="1" applyFont="1" applyFill="1" applyBorder="1" applyAlignment="1" applyProtection="1">
      <alignment horizontal="left" vertical="center"/>
    </xf>
    <xf numFmtId="0" fontId="9" fillId="0" borderId="15" xfId="0" applyNumberFormat="1" applyFont="1" applyFill="1" applyBorder="1" applyAlignment="1" applyProtection="1">
      <alignment horizontal="left" vertical="center"/>
    </xf>
    <xf numFmtId="0" fontId="9" fillId="0" borderId="23" xfId="0" applyNumberFormat="1" applyFont="1" applyFill="1" applyBorder="1" applyAlignment="1" applyProtection="1">
      <alignment horizontal="left" vertical="center"/>
    </xf>
    <xf numFmtId="0" fontId="9" fillId="0" borderId="33" xfId="0" applyNumberFormat="1" applyFont="1" applyFill="1" applyBorder="1" applyAlignment="1" applyProtection="1">
      <alignment horizontal="left" vertical="center"/>
    </xf>
    <xf numFmtId="49" fontId="14" fillId="3" borderId="15" xfId="0" applyNumberFormat="1" applyFont="1" applyFill="1" applyBorder="1" applyAlignment="1" applyProtection="1">
      <alignment horizontal="left" vertical="center"/>
    </xf>
    <xf numFmtId="0" fontId="14" fillId="3" borderId="15" xfId="0" applyNumberFormat="1" applyFont="1" applyFill="1" applyBorder="1" applyAlignment="1" applyProtection="1">
      <alignment horizontal="left" vertical="center"/>
    </xf>
    <xf numFmtId="49" fontId="15" fillId="4" borderId="0" xfId="0" applyNumberFormat="1" applyFont="1" applyFill="1" applyBorder="1" applyAlignment="1" applyProtection="1">
      <alignment horizontal="left" vertical="center"/>
    </xf>
    <xf numFmtId="0" fontId="15" fillId="4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24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49" fontId="14" fillId="3" borderId="0" xfId="0" applyNumberFormat="1" applyFont="1" applyFill="1" applyBorder="1" applyAlignment="1" applyProtection="1">
      <alignment horizontal="left" vertical="center"/>
    </xf>
    <xf numFmtId="0" fontId="14" fillId="3" borderId="0" xfId="0" applyNumberFormat="1" applyFont="1" applyFill="1" applyBorder="1" applyAlignment="1" applyProtection="1">
      <alignment horizontal="left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49" fontId="9" fillId="0" borderId="44" xfId="0" applyNumberFormat="1" applyFont="1" applyFill="1" applyBorder="1" applyAlignment="1" applyProtection="1">
      <alignment horizontal="left" vertical="center"/>
    </xf>
    <xf numFmtId="0" fontId="9" fillId="0" borderId="45" xfId="0" applyNumberFormat="1" applyFont="1" applyFill="1" applyBorder="1" applyAlignment="1" applyProtection="1">
      <alignment horizontal="left" vertical="center"/>
    </xf>
    <xf numFmtId="49" fontId="15" fillId="4" borderId="15" xfId="0" applyNumberFormat="1" applyFont="1" applyFill="1" applyBorder="1" applyAlignment="1" applyProtection="1">
      <alignment horizontal="left" vertical="center"/>
    </xf>
    <xf numFmtId="0" fontId="15" fillId="4" borderId="15" xfId="0" applyNumberFormat="1" applyFont="1" applyFill="1" applyBorder="1" applyAlignment="1" applyProtection="1">
      <alignment horizontal="left" vertical="center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49" fontId="19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000000"/>
      <rgbColor rgb="00000000"/>
      <rgbColor rgb="00C0C0C0"/>
      <rgbColor rgb="00C0C0C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80"/>
      <rgbColor rgb="0000000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tabSelected="1" workbookViewId="0">
      <selection activeCell="I15" sqref="I15"/>
    </sheetView>
  </sheetViews>
  <sheetFormatPr defaultColWidth="11.5703125" defaultRowHeight="12.7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>
      <c r="A1" s="99"/>
      <c r="B1" s="1"/>
      <c r="C1" s="100" t="s">
        <v>22</v>
      </c>
      <c r="D1" s="101"/>
      <c r="E1" s="101"/>
      <c r="F1" s="101"/>
      <c r="G1" s="101"/>
      <c r="H1" s="101"/>
      <c r="I1" s="101"/>
    </row>
    <row r="2" spans="1:10">
      <c r="A2" s="102" t="s">
        <v>0</v>
      </c>
      <c r="B2" s="103"/>
      <c r="C2" s="106" t="str">
        <f>'Stavební rozpočet'!D2</f>
        <v>Snížení energetické náročnosti MŠ Hrabinská Český Těšín</v>
      </c>
      <c r="D2" s="107"/>
      <c r="E2" s="109" t="s">
        <v>29</v>
      </c>
      <c r="F2" s="109" t="str">
        <f>'Stavební rozpočet'!J2</f>
        <v>Město Český Těšín</v>
      </c>
      <c r="G2" s="103"/>
      <c r="H2" s="109" t="s">
        <v>49</v>
      </c>
      <c r="I2" s="110" t="s">
        <v>53</v>
      </c>
      <c r="J2" s="19"/>
    </row>
    <row r="3" spans="1:10">
      <c r="A3" s="104"/>
      <c r="B3" s="105"/>
      <c r="C3" s="108"/>
      <c r="D3" s="108"/>
      <c r="E3" s="105"/>
      <c r="F3" s="105"/>
      <c r="G3" s="105"/>
      <c r="H3" s="105"/>
      <c r="I3" s="111"/>
      <c r="J3" s="19"/>
    </row>
    <row r="4" spans="1:10">
      <c r="A4" s="112" t="s">
        <v>1</v>
      </c>
      <c r="B4" s="105"/>
      <c r="C4" s="113" t="str">
        <f>'Stavební rozpočet'!D4</f>
        <v>Energetické úspory</v>
      </c>
      <c r="D4" s="105"/>
      <c r="E4" s="113" t="s">
        <v>30</v>
      </c>
      <c r="F4" s="113" t="str">
        <f>'Stavební rozpočet'!J4</f>
        <v>C.E.I.S. CZ s.r.o.</v>
      </c>
      <c r="G4" s="105"/>
      <c r="H4" s="113" t="s">
        <v>49</v>
      </c>
      <c r="I4" s="114" t="s">
        <v>54</v>
      </c>
      <c r="J4" s="19"/>
    </row>
    <row r="5" spans="1:10">
      <c r="A5" s="104"/>
      <c r="B5" s="105"/>
      <c r="C5" s="105"/>
      <c r="D5" s="105"/>
      <c r="E5" s="105"/>
      <c r="F5" s="105"/>
      <c r="G5" s="105"/>
      <c r="H5" s="105"/>
      <c r="I5" s="111"/>
      <c r="J5" s="19"/>
    </row>
    <row r="6" spans="1:10">
      <c r="A6" s="112" t="s">
        <v>2</v>
      </c>
      <c r="B6" s="105"/>
      <c r="C6" s="113" t="str">
        <f>'Stavební rozpočet'!D6</f>
        <v>Hrabinská 1016/51, Český Těšín</v>
      </c>
      <c r="D6" s="105"/>
      <c r="E6" s="113" t="s">
        <v>31</v>
      </c>
      <c r="F6" s="113" t="str">
        <f>'Stavební rozpočet'!J6</f>
        <v> </v>
      </c>
      <c r="G6" s="105"/>
      <c r="H6" s="113" t="s">
        <v>49</v>
      </c>
      <c r="I6" s="114"/>
      <c r="J6" s="19"/>
    </row>
    <row r="7" spans="1:10">
      <c r="A7" s="104"/>
      <c r="B7" s="105"/>
      <c r="C7" s="105"/>
      <c r="D7" s="105"/>
      <c r="E7" s="105"/>
      <c r="F7" s="105"/>
      <c r="G7" s="105"/>
      <c r="H7" s="105"/>
      <c r="I7" s="111"/>
      <c r="J7" s="19"/>
    </row>
    <row r="8" spans="1:10">
      <c r="A8" s="112" t="s">
        <v>3</v>
      </c>
      <c r="B8" s="105"/>
      <c r="C8" s="113" t="str">
        <f>'Stavební rozpočet'!G4</f>
        <v xml:space="preserve"> </v>
      </c>
      <c r="D8" s="105"/>
      <c r="E8" s="113" t="s">
        <v>32</v>
      </c>
      <c r="F8" s="113" t="str">
        <f>'Stavební rozpočet'!G6</f>
        <v xml:space="preserve"> </v>
      </c>
      <c r="G8" s="105"/>
      <c r="H8" s="115" t="s">
        <v>50</v>
      </c>
      <c r="I8" s="114" t="s">
        <v>55</v>
      </c>
      <c r="J8" s="19"/>
    </row>
    <row r="9" spans="1:10">
      <c r="A9" s="104"/>
      <c r="B9" s="105"/>
      <c r="C9" s="105"/>
      <c r="D9" s="105"/>
      <c r="E9" s="105"/>
      <c r="F9" s="105"/>
      <c r="G9" s="105"/>
      <c r="H9" s="105"/>
      <c r="I9" s="111"/>
      <c r="J9" s="19"/>
    </row>
    <row r="10" spans="1:10">
      <c r="A10" s="112" t="s">
        <v>4</v>
      </c>
      <c r="B10" s="105"/>
      <c r="C10" s="113" t="str">
        <f>'Stavební rozpočet'!D8</f>
        <v xml:space="preserve"> </v>
      </c>
      <c r="D10" s="105"/>
      <c r="E10" s="113" t="s">
        <v>33</v>
      </c>
      <c r="F10" s="113" t="str">
        <f>'Stavební rozpočet'!J8</f>
        <v> </v>
      </c>
      <c r="G10" s="105"/>
      <c r="H10" s="115" t="s">
        <v>51</v>
      </c>
      <c r="I10" s="118" t="str">
        <f>'Stavební rozpočet'!G8</f>
        <v>20.12.2019</v>
      </c>
      <c r="J10" s="19"/>
    </row>
    <row r="11" spans="1:10">
      <c r="A11" s="116"/>
      <c r="B11" s="117"/>
      <c r="C11" s="117"/>
      <c r="D11" s="117"/>
      <c r="E11" s="117"/>
      <c r="F11" s="117"/>
      <c r="G11" s="117"/>
      <c r="H11" s="117"/>
      <c r="I11" s="119"/>
      <c r="J11" s="19"/>
    </row>
    <row r="12" spans="1:10" ht="23.45" customHeight="1">
      <c r="A12" s="120" t="s">
        <v>5</v>
      </c>
      <c r="B12" s="121"/>
      <c r="C12" s="121"/>
      <c r="D12" s="121"/>
      <c r="E12" s="121"/>
      <c r="F12" s="121"/>
      <c r="G12" s="121"/>
      <c r="H12" s="121"/>
      <c r="I12" s="121"/>
    </row>
    <row r="13" spans="1:10" ht="26.45" customHeight="1">
      <c r="A13" s="2" t="s">
        <v>6</v>
      </c>
      <c r="B13" s="122" t="s">
        <v>19</v>
      </c>
      <c r="C13" s="123"/>
      <c r="D13" s="2" t="s">
        <v>23</v>
      </c>
      <c r="E13" s="122" t="s">
        <v>34</v>
      </c>
      <c r="F13" s="123"/>
      <c r="G13" s="2" t="s">
        <v>35</v>
      </c>
      <c r="H13" s="122" t="s">
        <v>52</v>
      </c>
      <c r="I13" s="123"/>
      <c r="J13" s="19"/>
    </row>
    <row r="14" spans="1:10" ht="15.2" customHeight="1">
      <c r="A14" s="3" t="s">
        <v>7</v>
      </c>
      <c r="B14" s="8" t="s">
        <v>20</v>
      </c>
      <c r="C14" s="12">
        <f>SUM('Stavební rozpočet'!AB12:AB767)</f>
        <v>841771.63934999995</v>
      </c>
      <c r="D14" s="124"/>
      <c r="E14" s="125"/>
      <c r="F14" s="12">
        <v>0</v>
      </c>
      <c r="G14" s="124" t="s">
        <v>36</v>
      </c>
      <c r="H14" s="125"/>
      <c r="I14" s="12">
        <v>9014.32</v>
      </c>
      <c r="J14" s="19"/>
    </row>
    <row r="15" spans="1:10" ht="15.2" customHeight="1">
      <c r="A15" s="4"/>
      <c r="B15" s="8" t="s">
        <v>21</v>
      </c>
      <c r="C15" s="12">
        <f>SUM('Stavební rozpočet'!AC12:AC767)</f>
        <v>3114726.6352800005</v>
      </c>
      <c r="D15" s="124"/>
      <c r="E15" s="125"/>
      <c r="F15" s="12">
        <v>0</v>
      </c>
      <c r="G15" s="124" t="s">
        <v>37</v>
      </c>
      <c r="H15" s="125"/>
      <c r="I15" s="12">
        <v>0</v>
      </c>
      <c r="J15" s="19"/>
    </row>
    <row r="16" spans="1:10" ht="15.2" customHeight="1">
      <c r="A16" s="3" t="s">
        <v>8</v>
      </c>
      <c r="B16" s="8" t="s">
        <v>20</v>
      </c>
      <c r="C16" s="12">
        <f>SUM('Stavební rozpočet'!AD12:AD767)</f>
        <v>1415083.043515</v>
      </c>
      <c r="D16" s="124"/>
      <c r="E16" s="125"/>
      <c r="F16" s="12">
        <v>0</v>
      </c>
      <c r="G16" s="124" t="s">
        <v>38</v>
      </c>
      <c r="H16" s="125"/>
      <c r="I16" s="12">
        <v>0</v>
      </c>
      <c r="J16" s="19"/>
    </row>
    <row r="17" spans="1:10" ht="15.2" customHeight="1">
      <c r="A17" s="4"/>
      <c r="B17" s="8" t="s">
        <v>21</v>
      </c>
      <c r="C17" s="12">
        <f>SUM('Stavební rozpočet'!AE12:AE767)</f>
        <v>2059466.7888800001</v>
      </c>
      <c r="D17" s="124"/>
      <c r="E17" s="125"/>
      <c r="F17" s="13"/>
      <c r="G17" s="124" t="s">
        <v>39</v>
      </c>
      <c r="H17" s="125"/>
      <c r="I17" s="12">
        <v>0</v>
      </c>
      <c r="J17" s="19"/>
    </row>
    <row r="18" spans="1:10" ht="15.2" customHeight="1">
      <c r="A18" s="3" t="s">
        <v>9</v>
      </c>
      <c r="B18" s="8" t="s">
        <v>20</v>
      </c>
      <c r="C18" s="12">
        <f>SUM('Stavební rozpočet'!AF12:AF767)</f>
        <v>29385</v>
      </c>
      <c r="D18" s="124"/>
      <c r="E18" s="125"/>
      <c r="F18" s="13"/>
      <c r="G18" s="124" t="s">
        <v>40</v>
      </c>
      <c r="H18" s="125"/>
      <c r="I18" s="12">
        <v>0</v>
      </c>
      <c r="J18" s="19"/>
    </row>
    <row r="19" spans="1:10" ht="15.2" customHeight="1">
      <c r="A19" s="4"/>
      <c r="B19" s="8" t="s">
        <v>21</v>
      </c>
      <c r="C19" s="12">
        <f>SUM('Stavební rozpočet'!AG12:AG767)</f>
        <v>192878.2</v>
      </c>
      <c r="D19" s="124"/>
      <c r="E19" s="125"/>
      <c r="F19" s="13"/>
      <c r="G19" s="124" t="s">
        <v>41</v>
      </c>
      <c r="H19" s="125"/>
      <c r="I19" s="12">
        <v>0</v>
      </c>
      <c r="J19" s="19"/>
    </row>
    <row r="20" spans="1:10" ht="15.2" customHeight="1">
      <c r="A20" s="126" t="s">
        <v>10</v>
      </c>
      <c r="B20" s="127"/>
      <c r="C20" s="12">
        <f>SUM('Stavební rozpočet'!AH12:AH767)</f>
        <v>0</v>
      </c>
      <c r="D20" s="124"/>
      <c r="E20" s="125"/>
      <c r="F20" s="13"/>
      <c r="G20" s="124"/>
      <c r="H20" s="125"/>
      <c r="I20" s="13"/>
      <c r="J20" s="19"/>
    </row>
    <row r="21" spans="1:10" ht="15.2" customHeight="1">
      <c r="A21" s="126" t="s">
        <v>11</v>
      </c>
      <c r="B21" s="127"/>
      <c r="C21" s="12">
        <f>SUM('Stavební rozpočet'!Z12:Z767)</f>
        <v>398807.1622100001</v>
      </c>
      <c r="D21" s="124"/>
      <c r="E21" s="125"/>
      <c r="F21" s="13"/>
      <c r="G21" s="124"/>
      <c r="H21" s="125"/>
      <c r="I21" s="13"/>
      <c r="J21" s="19"/>
    </row>
    <row r="22" spans="1:10" ht="16.7" customHeight="1">
      <c r="A22" s="126" t="s">
        <v>12</v>
      </c>
      <c r="B22" s="127"/>
      <c r="C22" s="12">
        <f>SUM(C14:C21)</f>
        <v>8052118.4692350002</v>
      </c>
      <c r="D22" s="126" t="s">
        <v>24</v>
      </c>
      <c r="E22" s="127"/>
      <c r="F22" s="12">
        <f>SUM(F14:F21)</f>
        <v>0</v>
      </c>
      <c r="G22" s="126" t="s">
        <v>42</v>
      </c>
      <c r="H22" s="127"/>
      <c r="I22" s="12">
        <f>SUM(I14:I21)</f>
        <v>9014.32</v>
      </c>
      <c r="J22" s="19"/>
    </row>
    <row r="23" spans="1:10" ht="15.2" customHeight="1">
      <c r="A23" s="5"/>
      <c r="B23" s="5"/>
      <c r="C23" s="10"/>
      <c r="D23" s="126" t="s">
        <v>25</v>
      </c>
      <c r="E23" s="127"/>
      <c r="F23" s="14">
        <v>0</v>
      </c>
      <c r="G23" s="126" t="s">
        <v>43</v>
      </c>
      <c r="H23" s="127"/>
      <c r="I23" s="12">
        <v>0</v>
      </c>
      <c r="J23" s="19"/>
    </row>
    <row r="24" spans="1:10" ht="15.2" customHeight="1">
      <c r="D24" s="5"/>
      <c r="E24" s="5"/>
      <c r="F24" s="15"/>
      <c r="G24" s="126" t="s">
        <v>44</v>
      </c>
      <c r="H24" s="127"/>
      <c r="I24" s="18"/>
    </row>
    <row r="25" spans="1:10" ht="15.2" customHeight="1">
      <c r="F25" s="16"/>
      <c r="G25" s="126" t="s">
        <v>45</v>
      </c>
      <c r="H25" s="127"/>
      <c r="I25" s="12">
        <v>0</v>
      </c>
      <c r="J25" s="19"/>
    </row>
    <row r="26" spans="1:10">
      <c r="A26" s="1"/>
      <c r="B26" s="1"/>
      <c r="C26" s="1"/>
      <c r="G26" s="5"/>
      <c r="H26" s="5"/>
      <c r="I26" s="5"/>
    </row>
    <row r="27" spans="1:10" ht="15.2" customHeight="1">
      <c r="A27" s="128" t="s">
        <v>13</v>
      </c>
      <c r="B27" s="129"/>
      <c r="C27" s="21">
        <f>SUM('Stavební rozpočet'!AJ12:AJ767)</f>
        <v>0</v>
      </c>
      <c r="D27" s="11"/>
      <c r="E27" s="1"/>
      <c r="F27" s="1"/>
      <c r="G27" s="1"/>
      <c r="H27" s="1"/>
      <c r="I27" s="1"/>
    </row>
    <row r="28" spans="1:10" ht="15.2" customHeight="1">
      <c r="A28" s="128" t="s">
        <v>14</v>
      </c>
      <c r="B28" s="129"/>
      <c r="C28" s="21">
        <f>SUM('Stavební rozpočet'!AK12:AK767)</f>
        <v>0</v>
      </c>
      <c r="D28" s="128" t="s">
        <v>26</v>
      </c>
      <c r="E28" s="129"/>
      <c r="F28" s="21">
        <f>ROUND(C28*(15/100),2)</f>
        <v>0</v>
      </c>
      <c r="G28" s="128" t="s">
        <v>46</v>
      </c>
      <c r="H28" s="129"/>
      <c r="I28" s="21">
        <f>SUM(C27:C29)</f>
        <v>8061132.7892350005</v>
      </c>
      <c r="J28" s="19"/>
    </row>
    <row r="29" spans="1:10" ht="15.2" customHeight="1">
      <c r="A29" s="128" t="s">
        <v>15</v>
      </c>
      <c r="B29" s="129"/>
      <c r="C29" s="21">
        <f>SUM('Stavební rozpočet'!AL12:AL767)+(F22+I22+F23+I23+I24+I25)</f>
        <v>8061132.7892350005</v>
      </c>
      <c r="D29" s="128" t="s">
        <v>27</v>
      </c>
      <c r="E29" s="129"/>
      <c r="F29" s="21">
        <f>ROUND(C29*(21/100),2)</f>
        <v>1692837.89</v>
      </c>
      <c r="G29" s="128" t="s">
        <v>47</v>
      </c>
      <c r="H29" s="129"/>
      <c r="I29" s="21">
        <f>SUM(F28:F29)+I28</f>
        <v>9753970.6792350002</v>
      </c>
      <c r="J29" s="19"/>
    </row>
    <row r="30" spans="1:10">
      <c r="A30" s="6"/>
      <c r="B30" s="6"/>
      <c r="C30" s="6"/>
      <c r="D30" s="6"/>
      <c r="E30" s="6"/>
      <c r="F30" s="6"/>
      <c r="G30" s="6"/>
      <c r="H30" s="6"/>
      <c r="I30" s="6"/>
    </row>
    <row r="31" spans="1:10" ht="14.45" customHeight="1">
      <c r="A31" s="130" t="s">
        <v>16</v>
      </c>
      <c r="B31" s="131"/>
      <c r="C31" s="132"/>
      <c r="D31" s="130" t="s">
        <v>28</v>
      </c>
      <c r="E31" s="131"/>
      <c r="F31" s="132"/>
      <c r="G31" s="130" t="s">
        <v>48</v>
      </c>
      <c r="H31" s="131"/>
      <c r="I31" s="132"/>
      <c r="J31" s="20"/>
    </row>
    <row r="32" spans="1:10" ht="14.45" customHeight="1">
      <c r="A32" s="133"/>
      <c r="B32" s="134"/>
      <c r="C32" s="135"/>
      <c r="D32" s="133"/>
      <c r="E32" s="134"/>
      <c r="F32" s="135"/>
      <c r="G32" s="133"/>
      <c r="H32" s="134"/>
      <c r="I32" s="135"/>
      <c r="J32" s="20"/>
    </row>
    <row r="33" spans="1:10" ht="14.45" customHeight="1">
      <c r="A33" s="133"/>
      <c r="B33" s="134"/>
      <c r="C33" s="135"/>
      <c r="D33" s="133"/>
      <c r="E33" s="134"/>
      <c r="F33" s="135"/>
      <c r="G33" s="133"/>
      <c r="H33" s="134"/>
      <c r="I33" s="135"/>
      <c r="J33" s="20"/>
    </row>
    <row r="34" spans="1:10" ht="14.45" customHeight="1">
      <c r="A34" s="133"/>
      <c r="B34" s="134"/>
      <c r="C34" s="135"/>
      <c r="D34" s="133"/>
      <c r="E34" s="134"/>
      <c r="F34" s="135"/>
      <c r="G34" s="133"/>
      <c r="H34" s="134"/>
      <c r="I34" s="135"/>
      <c r="J34" s="20"/>
    </row>
    <row r="35" spans="1:10" ht="14.45" customHeight="1">
      <c r="A35" s="136" t="s">
        <v>17</v>
      </c>
      <c r="B35" s="137"/>
      <c r="C35" s="138"/>
      <c r="D35" s="136" t="s">
        <v>17</v>
      </c>
      <c r="E35" s="137"/>
      <c r="F35" s="138"/>
      <c r="G35" s="136" t="s">
        <v>17</v>
      </c>
      <c r="H35" s="137"/>
      <c r="I35" s="138"/>
      <c r="J35" s="20"/>
    </row>
    <row r="36" spans="1:10" ht="11.25" customHeight="1">
      <c r="A36" s="7" t="s">
        <v>18</v>
      </c>
      <c r="B36" s="9"/>
      <c r="C36" s="9"/>
      <c r="D36" s="9"/>
      <c r="E36" s="9"/>
      <c r="F36" s="9"/>
      <c r="G36" s="9"/>
      <c r="H36" s="9"/>
      <c r="I36" s="9"/>
    </row>
    <row r="37" spans="1:10">
      <c r="A37" s="113"/>
      <c r="B37" s="105"/>
      <c r="C37" s="105"/>
      <c r="D37" s="105"/>
      <c r="E37" s="105"/>
      <c r="F37" s="105"/>
      <c r="G37" s="105"/>
      <c r="H37" s="105"/>
      <c r="I37" s="105"/>
    </row>
  </sheetData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D23:E23"/>
    <mergeCell ref="G23:H23"/>
    <mergeCell ref="G24:H24"/>
    <mergeCell ref="G25:H25"/>
    <mergeCell ref="A27:B27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workbookViewId="0">
      <pane ySplit="11" topLeftCell="A12" activePane="bottomLeft" state="frozenSplit"/>
      <selection pane="bottomLeft" sqref="A1:L1"/>
    </sheetView>
  </sheetViews>
  <sheetFormatPr defaultColWidth="11.5703125" defaultRowHeight="12.75"/>
  <cols>
    <col min="1" max="1" width="7.5703125" customWidth="1"/>
    <col min="2" max="9" width="15.7109375" customWidth="1"/>
    <col min="10" max="12" width="14.28515625" customWidth="1"/>
    <col min="13" max="16" width="12.140625" hidden="1" customWidth="1"/>
  </cols>
  <sheetData>
    <row r="1" spans="1:16" ht="72.95" customHeight="1">
      <c r="A1" s="139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6">
      <c r="A2" s="102" t="s">
        <v>0</v>
      </c>
      <c r="B2" s="103"/>
      <c r="C2" s="103"/>
      <c r="D2" s="106" t="str">
        <f>'Stavební rozpočet'!D2</f>
        <v>Snížení energetické náročnosti MŠ Hrabinská Český Těšín</v>
      </c>
      <c r="E2" s="107"/>
      <c r="F2" s="107"/>
      <c r="G2" s="109" t="s">
        <v>90</v>
      </c>
      <c r="H2" s="109" t="str">
        <f>'Stavební rozpočet'!G2</f>
        <v xml:space="preserve"> </v>
      </c>
      <c r="I2" s="109" t="s">
        <v>29</v>
      </c>
      <c r="J2" s="109" t="str">
        <f>'Stavební rozpočet'!J2</f>
        <v>Město Český Těšín</v>
      </c>
      <c r="K2" s="103"/>
      <c r="L2" s="140"/>
      <c r="M2" s="19"/>
    </row>
    <row r="3" spans="1:16" ht="51.4" customHeight="1">
      <c r="A3" s="104"/>
      <c r="B3" s="105"/>
      <c r="C3" s="105"/>
      <c r="D3" s="108"/>
      <c r="E3" s="108"/>
      <c r="F3" s="108"/>
      <c r="G3" s="105"/>
      <c r="H3" s="105"/>
      <c r="I3" s="105"/>
      <c r="J3" s="105"/>
      <c r="K3" s="105"/>
      <c r="L3" s="111"/>
      <c r="M3" s="19"/>
    </row>
    <row r="4" spans="1:16">
      <c r="A4" s="112" t="s">
        <v>1</v>
      </c>
      <c r="B4" s="105"/>
      <c r="C4" s="105"/>
      <c r="D4" s="113" t="str">
        <f>'Stavební rozpočet'!D4</f>
        <v>Energetické úspory</v>
      </c>
      <c r="E4" s="105"/>
      <c r="F4" s="105"/>
      <c r="G4" s="113" t="s">
        <v>3</v>
      </c>
      <c r="H4" s="113" t="str">
        <f>'Stavební rozpočet'!G4</f>
        <v xml:space="preserve"> </v>
      </c>
      <c r="I4" s="113" t="s">
        <v>30</v>
      </c>
      <c r="J4" s="113" t="str">
        <f>'Stavební rozpočet'!J4</f>
        <v>C.E.I.S. CZ s.r.o.</v>
      </c>
      <c r="K4" s="105"/>
      <c r="L4" s="111"/>
      <c r="M4" s="19"/>
    </row>
    <row r="5" spans="1:16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11"/>
      <c r="M5" s="19"/>
    </row>
    <row r="6" spans="1:16">
      <c r="A6" s="112" t="s">
        <v>2</v>
      </c>
      <c r="B6" s="105"/>
      <c r="C6" s="105"/>
      <c r="D6" s="113" t="str">
        <f>'Stavební rozpočet'!D6</f>
        <v>Hrabinská 1016/51, Český Těšín</v>
      </c>
      <c r="E6" s="105"/>
      <c r="F6" s="105"/>
      <c r="G6" s="113" t="s">
        <v>32</v>
      </c>
      <c r="H6" s="113" t="str">
        <f>'Stavební rozpočet'!G6</f>
        <v xml:space="preserve"> </v>
      </c>
      <c r="I6" s="113" t="s">
        <v>31</v>
      </c>
      <c r="J6" s="113" t="str">
        <f>'Stavební rozpočet'!J6</f>
        <v> </v>
      </c>
      <c r="K6" s="105"/>
      <c r="L6" s="111"/>
      <c r="M6" s="19"/>
    </row>
    <row r="7" spans="1:16" ht="25.7" customHeight="1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11"/>
      <c r="M7" s="19"/>
    </row>
    <row r="8" spans="1:16">
      <c r="A8" s="112" t="s">
        <v>4</v>
      </c>
      <c r="B8" s="105"/>
      <c r="C8" s="105"/>
      <c r="D8" s="113" t="str">
        <f>'Stavební rozpočet'!D8</f>
        <v xml:space="preserve"> </v>
      </c>
      <c r="E8" s="105"/>
      <c r="F8" s="105"/>
      <c r="G8" s="113" t="s">
        <v>91</v>
      </c>
      <c r="H8" s="113" t="str">
        <f>'Stavební rozpočet'!G8</f>
        <v>20.12.2019</v>
      </c>
      <c r="I8" s="113" t="s">
        <v>33</v>
      </c>
      <c r="J8" s="113" t="str">
        <f>'Stavební rozpočet'!J8</f>
        <v> </v>
      </c>
      <c r="K8" s="105"/>
      <c r="L8" s="111"/>
      <c r="M8" s="19"/>
    </row>
    <row r="9" spans="1:16">
      <c r="A9" s="141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3"/>
      <c r="M9" s="19"/>
    </row>
    <row r="10" spans="1:16">
      <c r="A10" s="22" t="s">
        <v>57</v>
      </c>
      <c r="B10" s="144" t="s">
        <v>57</v>
      </c>
      <c r="C10" s="145"/>
      <c r="D10" s="145"/>
      <c r="E10" s="145"/>
      <c r="F10" s="145"/>
      <c r="G10" s="145"/>
      <c r="H10" s="145"/>
      <c r="I10" s="146"/>
      <c r="J10" s="147" t="s">
        <v>92</v>
      </c>
      <c r="K10" s="148"/>
      <c r="L10" s="149"/>
      <c r="M10" s="20"/>
    </row>
    <row r="11" spans="1:16">
      <c r="A11" s="23" t="s">
        <v>58</v>
      </c>
      <c r="B11" s="150" t="s">
        <v>74</v>
      </c>
      <c r="C11" s="151"/>
      <c r="D11" s="151"/>
      <c r="E11" s="151"/>
      <c r="F11" s="151"/>
      <c r="G11" s="151"/>
      <c r="H11" s="151"/>
      <c r="I11" s="152"/>
      <c r="J11" s="30" t="s">
        <v>93</v>
      </c>
      <c r="K11" s="31" t="s">
        <v>21</v>
      </c>
      <c r="L11" s="32" t="s">
        <v>95</v>
      </c>
      <c r="M11" s="20"/>
    </row>
    <row r="12" spans="1:16">
      <c r="A12" s="24" t="s">
        <v>59</v>
      </c>
      <c r="B12" s="153" t="s">
        <v>75</v>
      </c>
      <c r="C12" s="145"/>
      <c r="D12" s="145"/>
      <c r="E12" s="145"/>
      <c r="F12" s="145"/>
      <c r="G12" s="145"/>
      <c r="H12" s="145"/>
      <c r="I12" s="145"/>
      <c r="J12" s="34">
        <f>'Stavební rozpočet'!J12</f>
        <v>119424.8</v>
      </c>
      <c r="K12" s="34">
        <f>'Stavební rozpočet'!K12</f>
        <v>2151791.9663899997</v>
      </c>
      <c r="L12" s="37">
        <f>'Stavební rozpočet'!L12</f>
        <v>2271216.76639</v>
      </c>
      <c r="M12" s="33" t="s">
        <v>96</v>
      </c>
      <c r="N12" s="35">
        <f t="shared" ref="N12:N26" si="0">IF(M12="F",0,L12)</f>
        <v>0</v>
      </c>
      <c r="O12" s="17" t="s">
        <v>59</v>
      </c>
      <c r="P12" s="35">
        <f t="shared" ref="P12:P26" si="1">IF(M12="T",0,L12)</f>
        <v>2271216.76639</v>
      </c>
    </row>
    <row r="13" spans="1:16">
      <c r="A13" s="25" t="s">
        <v>60</v>
      </c>
      <c r="B13" s="115" t="s">
        <v>76</v>
      </c>
      <c r="C13" s="105"/>
      <c r="D13" s="105"/>
      <c r="E13" s="105"/>
      <c r="F13" s="105"/>
      <c r="G13" s="105"/>
      <c r="H13" s="105"/>
      <c r="I13" s="105"/>
      <c r="J13" s="35">
        <f>'Stavební rozpočet'!J128</f>
        <v>77223.106249999997</v>
      </c>
      <c r="K13" s="35">
        <f>'Stavební rozpočet'!K128</f>
        <v>692269.67852999992</v>
      </c>
      <c r="L13" s="38">
        <f>'Stavební rozpočet'!L128</f>
        <v>769492.7847800001</v>
      </c>
      <c r="M13" s="33" t="s">
        <v>96</v>
      </c>
      <c r="N13" s="35">
        <f t="shared" si="0"/>
        <v>0</v>
      </c>
      <c r="O13" s="17" t="s">
        <v>60</v>
      </c>
      <c r="P13" s="35">
        <f t="shared" si="1"/>
        <v>769492.7847800001</v>
      </c>
    </row>
    <row r="14" spans="1:16">
      <c r="A14" s="25" t="s">
        <v>61</v>
      </c>
      <c r="B14" s="115" t="s">
        <v>77</v>
      </c>
      <c r="C14" s="105"/>
      <c r="D14" s="105"/>
      <c r="E14" s="105"/>
      <c r="F14" s="105"/>
      <c r="G14" s="105"/>
      <c r="H14" s="105"/>
      <c r="I14" s="105"/>
      <c r="J14" s="35">
        <f>'Stavební rozpočet'!J173</f>
        <v>964900.39999999991</v>
      </c>
      <c r="K14" s="35">
        <f>'Stavební rozpočet'!K173</f>
        <v>542994.87028999999</v>
      </c>
      <c r="L14" s="38">
        <f>'Stavební rozpočet'!L173</f>
        <v>1507895.2702899999</v>
      </c>
      <c r="M14" s="33" t="s">
        <v>96</v>
      </c>
      <c r="N14" s="35">
        <f t="shared" si="0"/>
        <v>0</v>
      </c>
      <c r="O14" s="17" t="s">
        <v>61</v>
      </c>
      <c r="P14" s="35">
        <f t="shared" si="1"/>
        <v>1507895.2702899999</v>
      </c>
    </row>
    <row r="15" spans="1:16">
      <c r="A15" s="25" t="s">
        <v>62</v>
      </c>
      <c r="B15" s="115" t="s">
        <v>78</v>
      </c>
      <c r="C15" s="105"/>
      <c r="D15" s="105"/>
      <c r="E15" s="105"/>
      <c r="F15" s="105"/>
      <c r="G15" s="105"/>
      <c r="H15" s="105"/>
      <c r="I15" s="105"/>
      <c r="J15" s="35">
        <f>'Stavební rozpočet'!J277</f>
        <v>0</v>
      </c>
      <c r="K15" s="35">
        <f>'Stavební rozpočet'!K277</f>
        <v>33325.002800000002</v>
      </c>
      <c r="L15" s="38">
        <f>'Stavební rozpočet'!L277</f>
        <v>33325.002800000002</v>
      </c>
      <c r="M15" s="33" t="s">
        <v>96</v>
      </c>
      <c r="N15" s="35">
        <f t="shared" si="0"/>
        <v>0</v>
      </c>
      <c r="O15" s="17" t="s">
        <v>62</v>
      </c>
      <c r="P15" s="35">
        <f t="shared" si="1"/>
        <v>33325.002800000002</v>
      </c>
    </row>
    <row r="16" spans="1:16">
      <c r="A16" s="25" t="s">
        <v>63</v>
      </c>
      <c r="B16" s="115" t="s">
        <v>79</v>
      </c>
      <c r="C16" s="105"/>
      <c r="D16" s="105"/>
      <c r="E16" s="105"/>
      <c r="F16" s="105"/>
      <c r="G16" s="105"/>
      <c r="H16" s="105"/>
      <c r="I16" s="105"/>
      <c r="J16" s="35">
        <f>'Stavební rozpočet'!J309</f>
        <v>103197.6</v>
      </c>
      <c r="K16" s="35">
        <f>'Stavební rozpočet'!K309</f>
        <v>88038.349560000002</v>
      </c>
      <c r="L16" s="38">
        <f>'Stavební rozpočet'!L309</f>
        <v>191235.94956000001</v>
      </c>
      <c r="M16" s="33" t="s">
        <v>96</v>
      </c>
      <c r="N16" s="35">
        <f t="shared" si="0"/>
        <v>0</v>
      </c>
      <c r="O16" s="17" t="s">
        <v>63</v>
      </c>
      <c r="P16" s="35">
        <f t="shared" si="1"/>
        <v>191235.94956000001</v>
      </c>
    </row>
    <row r="17" spans="1:16">
      <c r="A17" s="25" t="s">
        <v>64</v>
      </c>
      <c r="B17" s="115" t="s">
        <v>80</v>
      </c>
      <c r="C17" s="105"/>
      <c r="D17" s="105"/>
      <c r="E17" s="105"/>
      <c r="F17" s="105"/>
      <c r="G17" s="105"/>
      <c r="H17" s="105"/>
      <c r="I17" s="105"/>
      <c r="J17" s="35">
        <f>'Stavební rozpočet'!J358</f>
        <v>43594</v>
      </c>
      <c r="K17" s="35">
        <f>'Stavební rozpočet'!K358</f>
        <v>24907.958500000001</v>
      </c>
      <c r="L17" s="38">
        <f>'Stavební rozpočet'!L358</f>
        <v>68501.958499999993</v>
      </c>
      <c r="M17" s="33" t="s">
        <v>96</v>
      </c>
      <c r="N17" s="35">
        <f t="shared" si="0"/>
        <v>0</v>
      </c>
      <c r="O17" s="17" t="s">
        <v>64</v>
      </c>
      <c r="P17" s="35">
        <f t="shared" si="1"/>
        <v>68501.958499999993</v>
      </c>
    </row>
    <row r="18" spans="1:16">
      <c r="A18" s="25" t="s">
        <v>65</v>
      </c>
      <c r="B18" s="115" t="s">
        <v>81</v>
      </c>
      <c r="C18" s="105"/>
      <c r="D18" s="105"/>
      <c r="E18" s="105"/>
      <c r="F18" s="105"/>
      <c r="G18" s="105"/>
      <c r="H18" s="105"/>
      <c r="I18" s="105"/>
      <c r="J18" s="35">
        <f>'Stavební rozpočet'!J436</f>
        <v>65295.4</v>
      </c>
      <c r="K18" s="35">
        <f>'Stavební rozpočet'!K436</f>
        <v>86847</v>
      </c>
      <c r="L18" s="38">
        <f>'Stavební rozpočet'!L436</f>
        <v>152142.39999999999</v>
      </c>
      <c r="M18" s="33" t="s">
        <v>96</v>
      </c>
      <c r="N18" s="35">
        <f t="shared" si="0"/>
        <v>0</v>
      </c>
      <c r="O18" s="17" t="s">
        <v>65</v>
      </c>
      <c r="P18" s="35">
        <f t="shared" si="1"/>
        <v>152142.39999999999</v>
      </c>
    </row>
    <row r="19" spans="1:16">
      <c r="A19" s="25" t="s">
        <v>66</v>
      </c>
      <c r="B19" s="115" t="s">
        <v>82</v>
      </c>
      <c r="C19" s="105"/>
      <c r="D19" s="105"/>
      <c r="E19" s="105"/>
      <c r="F19" s="105"/>
      <c r="G19" s="105"/>
      <c r="H19" s="105"/>
      <c r="I19" s="105"/>
      <c r="J19" s="35">
        <f>'Stavební rozpočet'!J464</f>
        <v>308988.90000000002</v>
      </c>
      <c r="K19" s="35">
        <f>'Stavební rozpočet'!K464</f>
        <v>185146</v>
      </c>
      <c r="L19" s="38">
        <f>'Stavební rozpočet'!L464</f>
        <v>494134.9</v>
      </c>
      <c r="M19" s="33" t="s">
        <v>96</v>
      </c>
      <c r="N19" s="35">
        <f t="shared" si="0"/>
        <v>0</v>
      </c>
      <c r="O19" s="17" t="s">
        <v>66</v>
      </c>
      <c r="P19" s="35">
        <f t="shared" si="1"/>
        <v>494134.9</v>
      </c>
    </row>
    <row r="20" spans="1:16">
      <c r="A20" s="25" t="s">
        <v>67</v>
      </c>
      <c r="B20" s="115" t="s">
        <v>83</v>
      </c>
      <c r="C20" s="105"/>
      <c r="D20" s="105"/>
      <c r="E20" s="105"/>
      <c r="F20" s="105"/>
      <c r="G20" s="105"/>
      <c r="H20" s="105"/>
      <c r="I20" s="105"/>
      <c r="J20" s="35">
        <f>'Stavební rozpočet'!J494</f>
        <v>77882.5</v>
      </c>
      <c r="K20" s="35">
        <f>'Stavební rozpočet'!K494</f>
        <v>41813</v>
      </c>
      <c r="L20" s="38">
        <f>'Stavební rozpočet'!L494</f>
        <v>119695.5</v>
      </c>
      <c r="M20" s="33" t="s">
        <v>96</v>
      </c>
      <c r="N20" s="35">
        <f t="shared" si="0"/>
        <v>0</v>
      </c>
      <c r="O20" s="17" t="s">
        <v>67</v>
      </c>
      <c r="P20" s="35">
        <f t="shared" si="1"/>
        <v>119695.5</v>
      </c>
    </row>
    <row r="21" spans="1:16">
      <c r="A21" s="25" t="s">
        <v>68</v>
      </c>
      <c r="B21" s="115" t="s">
        <v>84</v>
      </c>
      <c r="C21" s="105"/>
      <c r="D21" s="105"/>
      <c r="E21" s="105"/>
      <c r="F21" s="105"/>
      <c r="G21" s="105"/>
      <c r="H21" s="105"/>
      <c r="I21" s="105"/>
      <c r="J21" s="35">
        <f>'Stavební rozpočet'!J523</f>
        <v>80</v>
      </c>
      <c r="K21" s="35">
        <f>'Stavební rozpočet'!K523</f>
        <v>249.70804000000001</v>
      </c>
      <c r="L21" s="38">
        <f>'Stavební rozpočet'!L523</f>
        <v>329.70804000000004</v>
      </c>
      <c r="M21" s="33" t="s">
        <v>96</v>
      </c>
      <c r="N21" s="35">
        <f t="shared" si="0"/>
        <v>0</v>
      </c>
      <c r="O21" s="17" t="s">
        <v>68</v>
      </c>
      <c r="P21" s="35">
        <f t="shared" si="1"/>
        <v>329.70804000000004</v>
      </c>
    </row>
    <row r="22" spans="1:16">
      <c r="A22" s="25" t="s">
        <v>69</v>
      </c>
      <c r="B22" s="115" t="s">
        <v>85</v>
      </c>
      <c r="C22" s="105"/>
      <c r="D22" s="105"/>
      <c r="E22" s="105"/>
      <c r="F22" s="105"/>
      <c r="G22" s="105"/>
      <c r="H22" s="105"/>
      <c r="I22" s="105"/>
      <c r="J22" s="35">
        <f>'Stavební rozpočet'!J532</f>
        <v>4448.4650000000001</v>
      </c>
      <c r="K22" s="35">
        <f>'Stavební rozpočet'!K532</f>
        <v>322401.83980000002</v>
      </c>
      <c r="L22" s="38">
        <f>'Stavební rozpočet'!L532</f>
        <v>326850.3048000001</v>
      </c>
      <c r="M22" s="33" t="s">
        <v>96</v>
      </c>
      <c r="N22" s="35">
        <f t="shared" si="0"/>
        <v>0</v>
      </c>
      <c r="O22" s="17" t="s">
        <v>69</v>
      </c>
      <c r="P22" s="35">
        <f t="shared" si="1"/>
        <v>326850.3048000001</v>
      </c>
    </row>
    <row r="23" spans="1:16">
      <c r="A23" s="25" t="s">
        <v>70</v>
      </c>
      <c r="B23" s="115" t="s">
        <v>86</v>
      </c>
      <c r="C23" s="105"/>
      <c r="D23" s="105"/>
      <c r="E23" s="105"/>
      <c r="F23" s="105"/>
      <c r="G23" s="105"/>
      <c r="H23" s="105"/>
      <c r="I23" s="105"/>
      <c r="J23" s="35">
        <f>'Stavební rozpočet'!J587</f>
        <v>34586.556639999995</v>
      </c>
      <c r="K23" s="35">
        <f>'Stavební rozpočet'!K587</f>
        <v>411481.52672000002</v>
      </c>
      <c r="L23" s="38">
        <f>'Stavební rozpočet'!L587</f>
        <v>446068.08335999999</v>
      </c>
      <c r="M23" s="33" t="s">
        <v>96</v>
      </c>
      <c r="N23" s="35">
        <f t="shared" si="0"/>
        <v>0</v>
      </c>
      <c r="O23" s="17" t="s">
        <v>70</v>
      </c>
      <c r="P23" s="35">
        <f t="shared" si="1"/>
        <v>446068.08335999999</v>
      </c>
    </row>
    <row r="24" spans="1:16">
      <c r="A24" s="25" t="s">
        <v>71</v>
      </c>
      <c r="B24" s="115" t="s">
        <v>87</v>
      </c>
      <c r="C24" s="105"/>
      <c r="D24" s="105"/>
      <c r="E24" s="105"/>
      <c r="F24" s="105"/>
      <c r="G24" s="105"/>
      <c r="H24" s="105"/>
      <c r="I24" s="105"/>
      <c r="J24" s="35">
        <f>'Stavební rozpočet'!J609</f>
        <v>423615.95497499994</v>
      </c>
      <c r="K24" s="35">
        <f>'Stavební rozpočet'!K609</f>
        <v>999464.68573999987</v>
      </c>
      <c r="L24" s="38">
        <f>'Stavební rozpočet'!L609</f>
        <v>1423080.6407149998</v>
      </c>
      <c r="M24" s="33" t="s">
        <v>96</v>
      </c>
      <c r="N24" s="35">
        <f t="shared" si="0"/>
        <v>0</v>
      </c>
      <c r="O24" s="17" t="s">
        <v>71</v>
      </c>
      <c r="P24" s="35">
        <f t="shared" si="1"/>
        <v>1423080.6407149998</v>
      </c>
    </row>
    <row r="25" spans="1:16">
      <c r="A25" s="25" t="s">
        <v>72</v>
      </c>
      <c r="B25" s="115" t="s">
        <v>88</v>
      </c>
      <c r="C25" s="105"/>
      <c r="D25" s="105"/>
      <c r="E25" s="105"/>
      <c r="F25" s="105"/>
      <c r="G25" s="105"/>
      <c r="H25" s="105"/>
      <c r="I25" s="105"/>
      <c r="J25" s="35">
        <f>'Stavební rozpočet'!J730</f>
        <v>63002</v>
      </c>
      <c r="K25" s="35">
        <f>'Stavební rozpočet'!K730</f>
        <v>38267.199999999997</v>
      </c>
      <c r="L25" s="38">
        <f>'Stavební rozpočet'!L730</f>
        <v>101269.2</v>
      </c>
      <c r="M25" s="33" t="s">
        <v>96</v>
      </c>
      <c r="N25" s="35">
        <f t="shared" si="0"/>
        <v>0</v>
      </c>
      <c r="O25" s="17" t="s">
        <v>72</v>
      </c>
      <c r="P25" s="35">
        <f t="shared" si="1"/>
        <v>101269.2</v>
      </c>
    </row>
    <row r="26" spans="1:16">
      <c r="A26" s="26" t="s">
        <v>73</v>
      </c>
      <c r="B26" s="154" t="s">
        <v>89</v>
      </c>
      <c r="C26" s="117"/>
      <c r="D26" s="117"/>
      <c r="E26" s="117"/>
      <c r="F26" s="117"/>
      <c r="G26" s="117"/>
      <c r="H26" s="117"/>
      <c r="I26" s="117"/>
      <c r="J26" s="36">
        <f>'Stavební rozpočet'!J757</f>
        <v>0</v>
      </c>
      <c r="K26" s="36">
        <f>'Stavební rozpočet'!K757</f>
        <v>146880</v>
      </c>
      <c r="L26" s="39">
        <f>'Stavební rozpočet'!L757</f>
        <v>146880</v>
      </c>
      <c r="M26" s="33" t="s">
        <v>96</v>
      </c>
      <c r="N26" s="35">
        <f t="shared" si="0"/>
        <v>0</v>
      </c>
      <c r="O26" s="17" t="s">
        <v>73</v>
      </c>
      <c r="P26" s="35">
        <f t="shared" si="1"/>
        <v>146880</v>
      </c>
    </row>
    <row r="27" spans="1:16">
      <c r="A27" s="5"/>
      <c r="B27" s="5"/>
      <c r="C27" s="5"/>
      <c r="D27" s="5"/>
      <c r="E27" s="5"/>
      <c r="F27" s="5"/>
      <c r="G27" s="5"/>
      <c r="H27" s="5"/>
      <c r="I27" s="5"/>
      <c r="J27" s="155" t="s">
        <v>94</v>
      </c>
      <c r="K27" s="107"/>
      <c r="L27" s="40">
        <f>SUM(P12:P26)</f>
        <v>8052118.4692349983</v>
      </c>
    </row>
    <row r="28" spans="1:16" ht="11.25" customHeight="1">
      <c r="A28" s="27" t="s">
        <v>18</v>
      </c>
    </row>
    <row r="29" spans="1:16">
      <c r="A29" s="113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</row>
  </sheetData>
  <mergeCells count="45">
    <mergeCell ref="J27:K27"/>
    <mergeCell ref="A29:L29"/>
    <mergeCell ref="B21:I21"/>
    <mergeCell ref="B22:I22"/>
    <mergeCell ref="B23:I23"/>
    <mergeCell ref="B24:I24"/>
    <mergeCell ref="B25:I25"/>
    <mergeCell ref="B26:I26"/>
    <mergeCell ref="B15:I15"/>
    <mergeCell ref="B16:I16"/>
    <mergeCell ref="B17:I17"/>
    <mergeCell ref="B18:I18"/>
    <mergeCell ref="B19:I19"/>
    <mergeCell ref="B20:I20"/>
    <mergeCell ref="B10:I10"/>
    <mergeCell ref="J10:L10"/>
    <mergeCell ref="B11:I11"/>
    <mergeCell ref="B12:I12"/>
    <mergeCell ref="B13:I13"/>
    <mergeCell ref="B14:I14"/>
    <mergeCell ref="A8:C9"/>
    <mergeCell ref="D8:F9"/>
    <mergeCell ref="G8:G9"/>
    <mergeCell ref="H8:H9"/>
    <mergeCell ref="I8:I9"/>
    <mergeCell ref="J8:L9"/>
    <mergeCell ref="A6:C7"/>
    <mergeCell ref="D6:F7"/>
    <mergeCell ref="G6:G7"/>
    <mergeCell ref="H6:H7"/>
    <mergeCell ref="I6:I7"/>
    <mergeCell ref="J6:L7"/>
    <mergeCell ref="A4:C5"/>
    <mergeCell ref="D4:F5"/>
    <mergeCell ref="G4:G5"/>
    <mergeCell ref="H4:H5"/>
    <mergeCell ref="I4:I5"/>
    <mergeCell ref="J4:L5"/>
    <mergeCell ref="A1:L1"/>
    <mergeCell ref="A2:C3"/>
    <mergeCell ref="D2:F3"/>
    <mergeCell ref="G2:G3"/>
    <mergeCell ref="H2:H3"/>
    <mergeCell ref="I2:I3"/>
    <mergeCell ref="J2:L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9"/>
  <sheetViews>
    <sheetView workbookViewId="0">
      <pane ySplit="11" topLeftCell="A12" activePane="bottomLeft" state="frozenSplit"/>
      <selection pane="bottomLeft" sqref="A1:L1"/>
    </sheetView>
  </sheetViews>
  <sheetFormatPr defaultColWidth="11.5703125" defaultRowHeight="12.75"/>
  <cols>
    <col min="1" max="1" width="7.5703125" customWidth="1"/>
    <col min="2" max="2" width="5.7109375" customWidth="1"/>
    <col min="3" max="9" width="15.7109375" customWidth="1"/>
    <col min="10" max="12" width="14.28515625" customWidth="1"/>
    <col min="13" max="16" width="12.140625" hidden="1" customWidth="1"/>
  </cols>
  <sheetData>
    <row r="1" spans="1:16" ht="72.95" customHeight="1">
      <c r="A1" s="139" t="s">
        <v>97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6">
      <c r="A2" s="102" t="s">
        <v>0</v>
      </c>
      <c r="B2" s="103"/>
      <c r="C2" s="103"/>
      <c r="D2" s="106" t="str">
        <f>'Stavební rozpočet'!D2</f>
        <v>Snížení energetické náročnosti MŠ Hrabinská Český Těšín</v>
      </c>
      <c r="E2" s="107"/>
      <c r="F2" s="107"/>
      <c r="G2" s="109" t="s">
        <v>90</v>
      </c>
      <c r="H2" s="109" t="str">
        <f>'Stavební rozpočet'!G2</f>
        <v xml:space="preserve"> </v>
      </c>
      <c r="I2" s="109" t="s">
        <v>29</v>
      </c>
      <c r="J2" s="109" t="str">
        <f>'Stavební rozpočet'!J2</f>
        <v>Město Český Těšín</v>
      </c>
      <c r="K2" s="103"/>
      <c r="L2" s="140"/>
      <c r="M2" s="19"/>
    </row>
    <row r="3" spans="1:16" ht="51.4" customHeight="1">
      <c r="A3" s="104"/>
      <c r="B3" s="105"/>
      <c r="C3" s="105"/>
      <c r="D3" s="108"/>
      <c r="E3" s="108"/>
      <c r="F3" s="108"/>
      <c r="G3" s="105"/>
      <c r="H3" s="105"/>
      <c r="I3" s="105"/>
      <c r="J3" s="105"/>
      <c r="K3" s="105"/>
      <c r="L3" s="111"/>
      <c r="M3" s="19"/>
    </row>
    <row r="4" spans="1:16">
      <c r="A4" s="112" t="s">
        <v>1</v>
      </c>
      <c r="B4" s="105"/>
      <c r="C4" s="105"/>
      <c r="D4" s="113" t="str">
        <f>'Stavební rozpočet'!D4</f>
        <v>Energetické úspory</v>
      </c>
      <c r="E4" s="105"/>
      <c r="F4" s="105"/>
      <c r="G4" s="113" t="s">
        <v>3</v>
      </c>
      <c r="H4" s="113" t="str">
        <f>'Stavební rozpočet'!G4</f>
        <v xml:space="preserve"> </v>
      </c>
      <c r="I4" s="113" t="s">
        <v>30</v>
      </c>
      <c r="J4" s="113" t="str">
        <f>'Stavební rozpočet'!J4</f>
        <v>C.E.I.S. CZ s.r.o.</v>
      </c>
      <c r="K4" s="105"/>
      <c r="L4" s="111"/>
      <c r="M4" s="19"/>
    </row>
    <row r="5" spans="1:16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11"/>
      <c r="M5" s="19"/>
    </row>
    <row r="6" spans="1:16">
      <c r="A6" s="112" t="s">
        <v>2</v>
      </c>
      <c r="B6" s="105"/>
      <c r="C6" s="105"/>
      <c r="D6" s="113" t="str">
        <f>'Stavební rozpočet'!D6</f>
        <v>Hrabinská 1016/51, Český Těšín</v>
      </c>
      <c r="E6" s="105"/>
      <c r="F6" s="105"/>
      <c r="G6" s="113" t="s">
        <v>32</v>
      </c>
      <c r="H6" s="113" t="str">
        <f>'Stavební rozpočet'!G6</f>
        <v xml:space="preserve"> </v>
      </c>
      <c r="I6" s="113" t="s">
        <v>31</v>
      </c>
      <c r="J6" s="113" t="str">
        <f>'Stavební rozpočet'!J6</f>
        <v> </v>
      </c>
      <c r="K6" s="105"/>
      <c r="L6" s="111"/>
      <c r="M6" s="19"/>
    </row>
    <row r="7" spans="1:16" ht="25.7" customHeight="1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11"/>
      <c r="M7" s="19"/>
    </row>
    <row r="8" spans="1:16">
      <c r="A8" s="112" t="s">
        <v>4</v>
      </c>
      <c r="B8" s="105"/>
      <c r="C8" s="105"/>
      <c r="D8" s="113" t="str">
        <f>'Stavební rozpočet'!D8</f>
        <v xml:space="preserve"> </v>
      </c>
      <c r="E8" s="105"/>
      <c r="F8" s="105"/>
      <c r="G8" s="113" t="s">
        <v>91</v>
      </c>
      <c r="H8" s="113" t="str">
        <f>'Stavební rozpočet'!G8</f>
        <v>20.12.2019</v>
      </c>
      <c r="I8" s="113" t="s">
        <v>33</v>
      </c>
      <c r="J8" s="113" t="str">
        <f>'Stavební rozpočet'!J8</f>
        <v> </v>
      </c>
      <c r="K8" s="105"/>
      <c r="L8" s="111"/>
      <c r="M8" s="19"/>
    </row>
    <row r="9" spans="1:16">
      <c r="A9" s="141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3"/>
      <c r="M9" s="19"/>
    </row>
    <row r="10" spans="1:16">
      <c r="A10" s="22" t="s">
        <v>57</v>
      </c>
      <c r="B10" s="41" t="s">
        <v>57</v>
      </c>
      <c r="C10" s="144" t="s">
        <v>57</v>
      </c>
      <c r="D10" s="145"/>
      <c r="E10" s="145"/>
      <c r="F10" s="145"/>
      <c r="G10" s="145"/>
      <c r="H10" s="145"/>
      <c r="I10" s="146"/>
      <c r="J10" s="147" t="s">
        <v>92</v>
      </c>
      <c r="K10" s="148"/>
      <c r="L10" s="149"/>
      <c r="M10" s="20"/>
    </row>
    <row r="11" spans="1:16">
      <c r="A11" s="23" t="s">
        <v>58</v>
      </c>
      <c r="B11" s="42" t="s">
        <v>98</v>
      </c>
      <c r="C11" s="150" t="s">
        <v>74</v>
      </c>
      <c r="D11" s="151"/>
      <c r="E11" s="151"/>
      <c r="F11" s="151"/>
      <c r="G11" s="151"/>
      <c r="H11" s="151"/>
      <c r="I11" s="152"/>
      <c r="J11" s="30" t="s">
        <v>93</v>
      </c>
      <c r="K11" s="31" t="s">
        <v>21</v>
      </c>
      <c r="L11" s="32" t="s">
        <v>95</v>
      </c>
      <c r="M11" s="20"/>
    </row>
    <row r="12" spans="1:16">
      <c r="A12" s="24" t="s">
        <v>59</v>
      </c>
      <c r="B12" s="28"/>
      <c r="C12" s="153" t="s">
        <v>75</v>
      </c>
      <c r="D12" s="145"/>
      <c r="E12" s="145"/>
      <c r="F12" s="145"/>
      <c r="G12" s="145"/>
      <c r="H12" s="145"/>
      <c r="I12" s="145"/>
      <c r="J12" s="34">
        <f>'Stavební rozpočet'!J12</f>
        <v>119424.8</v>
      </c>
      <c r="K12" s="34">
        <f>'Stavební rozpočet'!K12</f>
        <v>2151791.9663899997</v>
      </c>
      <c r="L12" s="37">
        <f>'Stavební rozpočet'!L12</f>
        <v>2271216.76639</v>
      </c>
      <c r="M12" s="33" t="s">
        <v>96</v>
      </c>
      <c r="N12" s="35">
        <f t="shared" ref="N12:N43" si="0">IF(M12="F",0,L12)</f>
        <v>0</v>
      </c>
      <c r="O12" s="17" t="s">
        <v>59</v>
      </c>
      <c r="P12" s="35">
        <f t="shared" ref="P12:P43" si="1">IF(M12="T",0,L12)</f>
        <v>2271216.76639</v>
      </c>
    </row>
    <row r="13" spans="1:16">
      <c r="A13" s="25" t="s">
        <v>59</v>
      </c>
      <c r="B13" s="17" t="s">
        <v>99</v>
      </c>
      <c r="C13" s="115" t="s">
        <v>114</v>
      </c>
      <c r="D13" s="105"/>
      <c r="E13" s="105"/>
      <c r="F13" s="105"/>
      <c r="G13" s="105"/>
      <c r="H13" s="105"/>
      <c r="I13" s="105"/>
      <c r="J13" s="35">
        <f>SUMIF('Stavební rozpočet'!AZ13:AZ767,"1100_3_",'Stavební rozpočet'!AW13:AW767)</f>
        <v>0</v>
      </c>
      <c r="K13" s="35">
        <f>SUMIF('Stavební rozpočet'!AZ13:AZ767,"1100_3_",'Stavební rozpočet'!AX13:AX767)</f>
        <v>538</v>
      </c>
      <c r="L13" s="38">
        <f>SUMIF('Stavební rozpočet'!AZ13:AZ767,"1100_3_",'Stavební rozpočet'!AV13:AV767)</f>
        <v>538</v>
      </c>
      <c r="M13" s="33" t="s">
        <v>129</v>
      </c>
      <c r="N13" s="35">
        <f t="shared" si="0"/>
        <v>538</v>
      </c>
      <c r="O13" s="17" t="s">
        <v>59</v>
      </c>
      <c r="P13" s="35">
        <f t="shared" si="1"/>
        <v>0</v>
      </c>
    </row>
    <row r="14" spans="1:16">
      <c r="A14" s="25" t="s">
        <v>59</v>
      </c>
      <c r="B14" s="17" t="s">
        <v>100</v>
      </c>
      <c r="C14" s="115" t="s">
        <v>115</v>
      </c>
      <c r="D14" s="105"/>
      <c r="E14" s="105"/>
      <c r="F14" s="105"/>
      <c r="G14" s="105"/>
      <c r="H14" s="105"/>
      <c r="I14" s="105"/>
      <c r="J14" s="35">
        <f>SUMIF('Stavební rozpočet'!AZ13:AZ767,"1100_6_",'Stavební rozpočet'!AW13:AW767)</f>
        <v>41130.54</v>
      </c>
      <c r="K14" s="35">
        <f>SUMIF('Stavební rozpočet'!AZ13:AZ767,"1100_6_",'Stavební rozpočet'!AX13:AX767)</f>
        <v>1707669.2879000001</v>
      </c>
      <c r="L14" s="38">
        <f>SUMIF('Stavební rozpočet'!AZ13:AZ767,"1100_6_",'Stavební rozpočet'!AV13:AV767)</f>
        <v>1748799.8279000006</v>
      </c>
      <c r="M14" s="33" t="s">
        <v>129</v>
      </c>
      <c r="N14" s="35">
        <f t="shared" si="0"/>
        <v>1748799.8279000006</v>
      </c>
      <c r="O14" s="17" t="s">
        <v>59</v>
      </c>
      <c r="P14" s="35">
        <f t="shared" si="1"/>
        <v>0</v>
      </c>
    </row>
    <row r="15" spans="1:16">
      <c r="A15" s="25" t="s">
        <v>59</v>
      </c>
      <c r="B15" s="17" t="s">
        <v>101</v>
      </c>
      <c r="C15" s="115" t="s">
        <v>116</v>
      </c>
      <c r="D15" s="105"/>
      <c r="E15" s="105"/>
      <c r="F15" s="105"/>
      <c r="G15" s="105"/>
      <c r="H15" s="105"/>
      <c r="I15" s="105"/>
      <c r="J15" s="35">
        <f>SUMIF('Stavební rozpočet'!AZ13:AZ767,"1100_76_",'Stavební rozpočet'!AW13:AW767)</f>
        <v>25548</v>
      </c>
      <c r="K15" s="35">
        <f>SUMIF('Stavební rozpočet'!AZ13:AZ767,"1100_76_",'Stavební rozpočet'!AX13:AX767)</f>
        <v>140683.91779000001</v>
      </c>
      <c r="L15" s="38">
        <f>SUMIF('Stavební rozpočet'!AZ13:AZ767,"1100_76_",'Stavební rozpočet'!AV13:AV767)</f>
        <v>166231.91779000001</v>
      </c>
      <c r="M15" s="33" t="s">
        <v>129</v>
      </c>
      <c r="N15" s="35">
        <f t="shared" si="0"/>
        <v>166231.91779000001</v>
      </c>
      <c r="O15" s="17" t="s">
        <v>59</v>
      </c>
      <c r="P15" s="35">
        <f t="shared" si="1"/>
        <v>0</v>
      </c>
    </row>
    <row r="16" spans="1:16">
      <c r="A16" s="25" t="s">
        <v>59</v>
      </c>
      <c r="B16" s="17" t="s">
        <v>102</v>
      </c>
      <c r="C16" s="115" t="s">
        <v>117</v>
      </c>
      <c r="D16" s="105"/>
      <c r="E16" s="105"/>
      <c r="F16" s="105"/>
      <c r="G16" s="105"/>
      <c r="H16" s="105"/>
      <c r="I16" s="105"/>
      <c r="J16" s="35">
        <f>SUMIF('Stavební rozpočet'!AZ13:AZ767,"1100_77_",'Stavební rozpočet'!AW13:AW767)</f>
        <v>1424.26</v>
      </c>
      <c r="K16" s="35">
        <f>SUMIF('Stavební rozpočet'!AZ13:AZ767,"1100_77_",'Stavební rozpočet'!AX13:AX767)</f>
        <v>4313.42544</v>
      </c>
      <c r="L16" s="38">
        <f>SUMIF('Stavební rozpočet'!AZ13:AZ767,"1100_77_",'Stavební rozpočet'!AV13:AV767)</f>
        <v>5737.6854400000002</v>
      </c>
      <c r="M16" s="33" t="s">
        <v>129</v>
      </c>
      <c r="N16" s="35">
        <f t="shared" si="0"/>
        <v>5737.6854400000002</v>
      </c>
      <c r="O16" s="17" t="s">
        <v>59</v>
      </c>
      <c r="P16" s="35">
        <f t="shared" si="1"/>
        <v>0</v>
      </c>
    </row>
    <row r="17" spans="1:16">
      <c r="A17" s="25" t="s">
        <v>59</v>
      </c>
      <c r="B17" s="17" t="s">
        <v>103</v>
      </c>
      <c r="C17" s="115" t="s">
        <v>118</v>
      </c>
      <c r="D17" s="105"/>
      <c r="E17" s="105"/>
      <c r="F17" s="105"/>
      <c r="G17" s="105"/>
      <c r="H17" s="105"/>
      <c r="I17" s="105"/>
      <c r="J17" s="35">
        <f>SUMIF('Stavební rozpočet'!AZ13:AZ767,"1100_78_",'Stavební rozpočet'!AW13:AW767)</f>
        <v>42922</v>
      </c>
      <c r="K17" s="35">
        <f>SUMIF('Stavební rozpočet'!AZ13:AZ767,"1100_78_",'Stavební rozpočet'!AX13:AX767)</f>
        <v>176372.84999999998</v>
      </c>
      <c r="L17" s="38">
        <f>SUMIF('Stavební rozpočet'!AZ13:AZ767,"1100_78_",'Stavební rozpočet'!AV13:AV767)</f>
        <v>219294.84999999998</v>
      </c>
      <c r="M17" s="33" t="s">
        <v>129</v>
      </c>
      <c r="N17" s="35">
        <f t="shared" si="0"/>
        <v>219294.84999999998</v>
      </c>
      <c r="O17" s="17" t="s">
        <v>59</v>
      </c>
      <c r="P17" s="35">
        <f t="shared" si="1"/>
        <v>0</v>
      </c>
    </row>
    <row r="18" spans="1:16">
      <c r="A18" s="25" t="s">
        <v>59</v>
      </c>
      <c r="B18" s="17" t="s">
        <v>104</v>
      </c>
      <c r="C18" s="115" t="s">
        <v>119</v>
      </c>
      <c r="D18" s="105"/>
      <c r="E18" s="105"/>
      <c r="F18" s="105"/>
      <c r="G18" s="105"/>
      <c r="H18" s="105"/>
      <c r="I18" s="105"/>
      <c r="J18" s="35">
        <f>SUMIF('Stavební rozpočet'!AZ13:AZ767,"1100_9_",'Stavební rozpočet'!AW13:AW767)</f>
        <v>8400</v>
      </c>
      <c r="K18" s="35">
        <f>SUMIF('Stavební rozpočet'!AZ13:AZ767,"1100_9_",'Stavební rozpočet'!AX13:AX767)</f>
        <v>122214.48526</v>
      </c>
      <c r="L18" s="38">
        <f>SUMIF('Stavební rozpočet'!AZ13:AZ767,"1100_9_",'Stavební rozpočet'!AV13:AV767)</f>
        <v>130614.48526</v>
      </c>
      <c r="M18" s="33" t="s">
        <v>129</v>
      </c>
      <c r="N18" s="35">
        <f t="shared" si="0"/>
        <v>130614.48526</v>
      </c>
      <c r="O18" s="17" t="s">
        <v>59</v>
      </c>
      <c r="P18" s="35">
        <f t="shared" si="1"/>
        <v>0</v>
      </c>
    </row>
    <row r="19" spans="1:16">
      <c r="A19" s="25" t="s">
        <v>60</v>
      </c>
      <c r="B19" s="17"/>
      <c r="C19" s="115" t="s">
        <v>76</v>
      </c>
      <c r="D19" s="105"/>
      <c r="E19" s="105"/>
      <c r="F19" s="105"/>
      <c r="G19" s="105"/>
      <c r="H19" s="105"/>
      <c r="I19" s="105"/>
      <c r="J19" s="35">
        <f>'Stavební rozpočet'!J128</f>
        <v>77223.106249999997</v>
      </c>
      <c r="K19" s="35">
        <f>'Stavební rozpočet'!K128</f>
        <v>692269.67852999992</v>
      </c>
      <c r="L19" s="38">
        <f>'Stavební rozpočet'!L128</f>
        <v>769492.7847800001</v>
      </c>
      <c r="M19" s="33" t="s">
        <v>96</v>
      </c>
      <c r="N19" s="35">
        <f t="shared" si="0"/>
        <v>0</v>
      </c>
      <c r="O19" s="17" t="s">
        <v>60</v>
      </c>
      <c r="P19" s="35">
        <f t="shared" si="1"/>
        <v>769492.7847800001</v>
      </c>
    </row>
    <row r="20" spans="1:16">
      <c r="A20" s="25" t="s">
        <v>60</v>
      </c>
      <c r="B20" s="17" t="s">
        <v>105</v>
      </c>
      <c r="C20" s="115" t="s">
        <v>120</v>
      </c>
      <c r="D20" s="105"/>
      <c r="E20" s="105"/>
      <c r="F20" s="105"/>
      <c r="G20" s="105"/>
      <c r="H20" s="105"/>
      <c r="I20" s="105"/>
      <c r="J20" s="35">
        <f>SUMIF('Stavební rozpočet'!AZ13:AZ767,"1120_71_",'Stavební rozpočet'!AW13:AW767)</f>
        <v>0</v>
      </c>
      <c r="K20" s="35">
        <f>SUMIF('Stavební rozpočet'!AZ13:AZ767,"1120_71_",'Stavební rozpočet'!AX13:AX767)</f>
        <v>284375.46162000002</v>
      </c>
      <c r="L20" s="38">
        <f>SUMIF('Stavební rozpočet'!AZ13:AZ767,"1120_71_",'Stavební rozpočet'!AV13:AV767)</f>
        <v>284375.46162000002</v>
      </c>
      <c r="M20" s="33" t="s">
        <v>129</v>
      </c>
      <c r="N20" s="35">
        <f t="shared" si="0"/>
        <v>284375.46162000002</v>
      </c>
      <c r="O20" s="17" t="s">
        <v>60</v>
      </c>
      <c r="P20" s="35">
        <f t="shared" si="1"/>
        <v>0</v>
      </c>
    </row>
    <row r="21" spans="1:16">
      <c r="A21" s="25" t="s">
        <v>60</v>
      </c>
      <c r="B21" s="17" t="s">
        <v>106</v>
      </c>
      <c r="C21" s="115" t="s">
        <v>121</v>
      </c>
      <c r="D21" s="105"/>
      <c r="E21" s="105"/>
      <c r="F21" s="105"/>
      <c r="G21" s="105"/>
      <c r="H21" s="105"/>
      <c r="I21" s="105"/>
      <c r="J21" s="35">
        <f>SUMIF('Stavební rozpočet'!AZ13:AZ767,"1120_72_",'Stavební rozpočet'!AW13:AW767)</f>
        <v>0</v>
      </c>
      <c r="K21" s="35">
        <f>SUMIF('Stavební rozpočet'!AZ13:AZ767,"1120_72_",'Stavební rozpočet'!AX13:AX767)</f>
        <v>102581.61874000001</v>
      </c>
      <c r="L21" s="38">
        <f>SUMIF('Stavební rozpočet'!AZ13:AZ767,"1120_72_",'Stavební rozpočet'!AV13:AV767)</f>
        <v>102581.61874000001</v>
      </c>
      <c r="M21" s="33" t="s">
        <v>129</v>
      </c>
      <c r="N21" s="35">
        <f t="shared" si="0"/>
        <v>102581.61874000001</v>
      </c>
      <c r="O21" s="17" t="s">
        <v>60</v>
      </c>
      <c r="P21" s="35">
        <f t="shared" si="1"/>
        <v>0</v>
      </c>
    </row>
    <row r="22" spans="1:16">
      <c r="A22" s="25" t="s">
        <v>60</v>
      </c>
      <c r="B22" s="17" t="s">
        <v>101</v>
      </c>
      <c r="C22" s="115" t="s">
        <v>116</v>
      </c>
      <c r="D22" s="105"/>
      <c r="E22" s="105"/>
      <c r="F22" s="105"/>
      <c r="G22" s="105"/>
      <c r="H22" s="105"/>
      <c r="I22" s="105"/>
      <c r="J22" s="35">
        <f>SUMIF('Stavební rozpočet'!AZ13:AZ767,"1120_76_",'Stavební rozpočet'!AW13:AW767)</f>
        <v>77223.106249999997</v>
      </c>
      <c r="K22" s="35">
        <f>SUMIF('Stavební rozpočet'!AZ13:AZ767,"1120_76_",'Stavební rozpočet'!AX13:AX767)</f>
        <v>290009.59019000002</v>
      </c>
      <c r="L22" s="38">
        <f>SUMIF('Stavební rozpočet'!AZ13:AZ767,"1120_76_",'Stavební rozpočet'!AV13:AV767)</f>
        <v>367232.69644000003</v>
      </c>
      <c r="M22" s="33" t="s">
        <v>129</v>
      </c>
      <c r="N22" s="35">
        <f t="shared" si="0"/>
        <v>367232.69644000003</v>
      </c>
      <c r="O22" s="17" t="s">
        <v>60</v>
      </c>
      <c r="P22" s="35">
        <f t="shared" si="1"/>
        <v>0</v>
      </c>
    </row>
    <row r="23" spans="1:16">
      <c r="A23" s="25" t="s">
        <v>60</v>
      </c>
      <c r="B23" s="17" t="s">
        <v>104</v>
      </c>
      <c r="C23" s="115" t="s">
        <v>119</v>
      </c>
      <c r="D23" s="105"/>
      <c r="E23" s="105"/>
      <c r="F23" s="105"/>
      <c r="G23" s="105"/>
      <c r="H23" s="105"/>
      <c r="I23" s="105"/>
      <c r="J23" s="35">
        <f>SUMIF('Stavební rozpočet'!AZ13:AZ767,"1120_9_",'Stavební rozpočet'!AW13:AW767)</f>
        <v>0</v>
      </c>
      <c r="K23" s="35">
        <f>SUMIF('Stavební rozpočet'!AZ13:AZ767,"1120_9_",'Stavební rozpočet'!AX13:AX767)</f>
        <v>15303.00798</v>
      </c>
      <c r="L23" s="38">
        <f>SUMIF('Stavební rozpočet'!AZ13:AZ767,"1120_9_",'Stavební rozpočet'!AV13:AV767)</f>
        <v>15303.00798</v>
      </c>
      <c r="M23" s="33" t="s">
        <v>129</v>
      </c>
      <c r="N23" s="35">
        <f t="shared" si="0"/>
        <v>15303.00798</v>
      </c>
      <c r="O23" s="17" t="s">
        <v>60</v>
      </c>
      <c r="P23" s="35">
        <f t="shared" si="1"/>
        <v>0</v>
      </c>
    </row>
    <row r="24" spans="1:16">
      <c r="A24" s="25" t="s">
        <v>61</v>
      </c>
      <c r="B24" s="17"/>
      <c r="C24" s="115" t="s">
        <v>77</v>
      </c>
      <c r="D24" s="105"/>
      <c r="E24" s="105"/>
      <c r="F24" s="105"/>
      <c r="G24" s="105"/>
      <c r="H24" s="105"/>
      <c r="I24" s="105"/>
      <c r="J24" s="35">
        <f>'Stavební rozpočet'!J173</f>
        <v>964900.39999999991</v>
      </c>
      <c r="K24" s="35">
        <f>'Stavební rozpočet'!K173</f>
        <v>542994.87028999999</v>
      </c>
      <c r="L24" s="38">
        <f>'Stavební rozpočet'!L173</f>
        <v>1507895.2702899999</v>
      </c>
      <c r="M24" s="33" t="s">
        <v>96</v>
      </c>
      <c r="N24" s="35">
        <f t="shared" si="0"/>
        <v>0</v>
      </c>
      <c r="O24" s="17" t="s">
        <v>61</v>
      </c>
      <c r="P24" s="35">
        <f t="shared" si="1"/>
        <v>1507895.2702899999</v>
      </c>
    </row>
    <row r="25" spans="1:16">
      <c r="A25" s="25" t="s">
        <v>61</v>
      </c>
      <c r="B25" s="17" t="s">
        <v>99</v>
      </c>
      <c r="C25" s="115" t="s">
        <v>114</v>
      </c>
      <c r="D25" s="105"/>
      <c r="E25" s="105"/>
      <c r="F25" s="105"/>
      <c r="G25" s="105"/>
      <c r="H25" s="105"/>
      <c r="I25" s="105"/>
      <c r="J25" s="35">
        <f>SUMIF('Stavební rozpočet'!AZ13:AZ767,"1140_3_",'Stavební rozpočet'!AW13:AW767)</f>
        <v>0</v>
      </c>
      <c r="K25" s="35">
        <f>SUMIF('Stavební rozpočet'!AZ13:AZ767,"1140_3_",'Stavební rozpočet'!AX13:AX767)</f>
        <v>3625.2000000000003</v>
      </c>
      <c r="L25" s="38">
        <f>SUMIF('Stavební rozpočet'!AZ13:AZ767,"1140_3_",'Stavební rozpočet'!AV13:AV767)</f>
        <v>3625.2000000000003</v>
      </c>
      <c r="M25" s="33" t="s">
        <v>129</v>
      </c>
      <c r="N25" s="35">
        <f t="shared" si="0"/>
        <v>3625.2000000000003</v>
      </c>
      <c r="O25" s="17" t="s">
        <v>61</v>
      </c>
      <c r="P25" s="35">
        <f t="shared" si="1"/>
        <v>0</v>
      </c>
    </row>
    <row r="26" spans="1:16">
      <c r="A26" s="25" t="s">
        <v>61</v>
      </c>
      <c r="B26" s="17" t="s">
        <v>100</v>
      </c>
      <c r="C26" s="115" t="s">
        <v>115</v>
      </c>
      <c r="D26" s="105"/>
      <c r="E26" s="105"/>
      <c r="F26" s="105"/>
      <c r="G26" s="105"/>
      <c r="H26" s="105"/>
      <c r="I26" s="105"/>
      <c r="J26" s="35">
        <f>SUMIF('Stavební rozpočet'!AZ13:AZ767,"1140_6_",'Stavební rozpočet'!AW13:AW767)</f>
        <v>0</v>
      </c>
      <c r="K26" s="35">
        <f>SUMIF('Stavební rozpočet'!AZ13:AZ767,"1140_6_",'Stavební rozpočet'!AX13:AX767)</f>
        <v>72915.600000000006</v>
      </c>
      <c r="L26" s="38">
        <f>SUMIF('Stavební rozpočet'!AZ13:AZ767,"1140_6_",'Stavební rozpočet'!AV13:AV767)</f>
        <v>72915.600000000006</v>
      </c>
      <c r="M26" s="33" t="s">
        <v>129</v>
      </c>
      <c r="N26" s="35">
        <f t="shared" si="0"/>
        <v>72915.600000000006</v>
      </c>
      <c r="O26" s="17" t="s">
        <v>61</v>
      </c>
      <c r="P26" s="35">
        <f t="shared" si="1"/>
        <v>0</v>
      </c>
    </row>
    <row r="27" spans="1:16">
      <c r="A27" s="25" t="s">
        <v>61</v>
      </c>
      <c r="B27" s="17" t="s">
        <v>105</v>
      </c>
      <c r="C27" s="115" t="s">
        <v>120</v>
      </c>
      <c r="D27" s="105"/>
      <c r="E27" s="105"/>
      <c r="F27" s="105"/>
      <c r="G27" s="105"/>
      <c r="H27" s="105"/>
      <c r="I27" s="105"/>
      <c r="J27" s="35">
        <f>SUMIF('Stavební rozpočet'!AZ13:AZ767,"1140_71_",'Stavební rozpočet'!AW13:AW767)</f>
        <v>0</v>
      </c>
      <c r="K27" s="35">
        <f>SUMIF('Stavební rozpočet'!AZ13:AZ767,"1140_71_",'Stavební rozpočet'!AX13:AX767)</f>
        <v>360.42782999999997</v>
      </c>
      <c r="L27" s="38">
        <f>SUMIF('Stavební rozpočet'!AZ13:AZ767,"1140_71_",'Stavební rozpočet'!AV13:AV767)</f>
        <v>360.42782999999997</v>
      </c>
      <c r="M27" s="33" t="s">
        <v>129</v>
      </c>
      <c r="N27" s="35">
        <f t="shared" si="0"/>
        <v>360.42782999999997</v>
      </c>
      <c r="O27" s="17" t="s">
        <v>61</v>
      </c>
      <c r="P27" s="35">
        <f t="shared" si="1"/>
        <v>0</v>
      </c>
    </row>
    <row r="28" spans="1:16">
      <c r="A28" s="25" t="s">
        <v>61</v>
      </c>
      <c r="B28" s="17" t="s">
        <v>101</v>
      </c>
      <c r="C28" s="115" t="s">
        <v>116</v>
      </c>
      <c r="D28" s="105"/>
      <c r="E28" s="105"/>
      <c r="F28" s="105"/>
      <c r="G28" s="105"/>
      <c r="H28" s="105"/>
      <c r="I28" s="105"/>
      <c r="J28" s="35">
        <f>SUMIF('Stavební rozpočet'!AZ13:AZ767,"1140_76_",'Stavební rozpočet'!AW13:AW767)</f>
        <v>964900.39999999991</v>
      </c>
      <c r="K28" s="35">
        <f>SUMIF('Stavební rozpočet'!AZ13:AZ767,"1140_76_",'Stavební rozpočet'!AX13:AX767)</f>
        <v>191584.44560000001</v>
      </c>
      <c r="L28" s="38">
        <f>SUMIF('Stavební rozpočet'!AZ13:AZ767,"1140_76_",'Stavební rozpočet'!AV13:AV767)</f>
        <v>1156484.8456000001</v>
      </c>
      <c r="M28" s="33" t="s">
        <v>129</v>
      </c>
      <c r="N28" s="35">
        <f t="shared" si="0"/>
        <v>1156484.8456000001</v>
      </c>
      <c r="O28" s="17" t="s">
        <v>61</v>
      </c>
      <c r="P28" s="35">
        <f t="shared" si="1"/>
        <v>0</v>
      </c>
    </row>
    <row r="29" spans="1:16">
      <c r="A29" s="25" t="s">
        <v>61</v>
      </c>
      <c r="B29" s="17" t="s">
        <v>103</v>
      </c>
      <c r="C29" s="115" t="s">
        <v>118</v>
      </c>
      <c r="D29" s="105"/>
      <c r="E29" s="105"/>
      <c r="F29" s="105"/>
      <c r="G29" s="105"/>
      <c r="H29" s="105"/>
      <c r="I29" s="105"/>
      <c r="J29" s="35">
        <f>SUMIF('Stavební rozpočet'!AZ13:AZ767,"1140_78_",'Stavební rozpočet'!AW13:AW767)</f>
        <v>0</v>
      </c>
      <c r="K29" s="35">
        <f>SUMIF('Stavební rozpočet'!AZ13:AZ767,"1140_78_",'Stavební rozpočet'!AX13:AX767)</f>
        <v>138720.17250000002</v>
      </c>
      <c r="L29" s="38">
        <f>SUMIF('Stavební rozpočet'!AZ13:AZ767,"1140_78_",'Stavební rozpočet'!AV13:AV767)</f>
        <v>138720.17250000002</v>
      </c>
      <c r="M29" s="33" t="s">
        <v>129</v>
      </c>
      <c r="N29" s="35">
        <f t="shared" si="0"/>
        <v>138720.17250000002</v>
      </c>
      <c r="O29" s="17" t="s">
        <v>61</v>
      </c>
      <c r="P29" s="35">
        <f t="shared" si="1"/>
        <v>0</v>
      </c>
    </row>
    <row r="30" spans="1:16">
      <c r="A30" s="25" t="s">
        <v>61</v>
      </c>
      <c r="B30" s="17" t="s">
        <v>104</v>
      </c>
      <c r="C30" s="115" t="s">
        <v>119</v>
      </c>
      <c r="D30" s="105"/>
      <c r="E30" s="105"/>
      <c r="F30" s="105"/>
      <c r="G30" s="105"/>
      <c r="H30" s="105"/>
      <c r="I30" s="105"/>
      <c r="J30" s="35">
        <f>SUMIF('Stavební rozpočet'!AZ13:AZ767,"1140_9_",'Stavební rozpočet'!AW13:AW767)</f>
        <v>0</v>
      </c>
      <c r="K30" s="35">
        <f>SUMIF('Stavební rozpočet'!AZ13:AZ767,"1140_9_",'Stavební rozpočet'!AX13:AX767)</f>
        <v>135789.02436000001</v>
      </c>
      <c r="L30" s="38">
        <f>SUMIF('Stavební rozpočet'!AZ13:AZ767,"1140_9_",'Stavební rozpočet'!AV13:AV767)</f>
        <v>135789.02436000001</v>
      </c>
      <c r="M30" s="33" t="s">
        <v>129</v>
      </c>
      <c r="N30" s="35">
        <f t="shared" si="0"/>
        <v>135789.02436000001</v>
      </c>
      <c r="O30" s="17" t="s">
        <v>61</v>
      </c>
      <c r="P30" s="35">
        <f t="shared" si="1"/>
        <v>0</v>
      </c>
    </row>
    <row r="31" spans="1:16">
      <c r="A31" s="25" t="s">
        <v>62</v>
      </c>
      <c r="B31" s="17"/>
      <c r="C31" s="115" t="s">
        <v>78</v>
      </c>
      <c r="D31" s="105"/>
      <c r="E31" s="105"/>
      <c r="F31" s="105"/>
      <c r="G31" s="105"/>
      <c r="H31" s="105"/>
      <c r="I31" s="105"/>
      <c r="J31" s="35">
        <f>'Stavební rozpočet'!J277</f>
        <v>0</v>
      </c>
      <c r="K31" s="35">
        <f>'Stavební rozpočet'!K277</f>
        <v>33325.002800000002</v>
      </c>
      <c r="L31" s="38">
        <f>'Stavební rozpočet'!L277</f>
        <v>33325.002800000002</v>
      </c>
      <c r="M31" s="33" t="s">
        <v>96</v>
      </c>
      <c r="N31" s="35">
        <f t="shared" si="0"/>
        <v>0</v>
      </c>
      <c r="O31" s="17" t="s">
        <v>62</v>
      </c>
      <c r="P31" s="35">
        <f t="shared" si="1"/>
        <v>33325.002800000002</v>
      </c>
    </row>
    <row r="32" spans="1:16">
      <c r="A32" s="25" t="s">
        <v>62</v>
      </c>
      <c r="B32" s="17" t="s">
        <v>107</v>
      </c>
      <c r="C32" s="115" t="s">
        <v>122</v>
      </c>
      <c r="D32" s="105"/>
      <c r="E32" s="105"/>
      <c r="F32" s="105"/>
      <c r="G32" s="105"/>
      <c r="H32" s="105"/>
      <c r="I32" s="105"/>
      <c r="J32" s="35">
        <f>SUMIF('Stavební rozpočet'!AZ13:AZ767,"1431_73_",'Stavební rozpočet'!AW13:AW767)</f>
        <v>0</v>
      </c>
      <c r="K32" s="35">
        <f>SUMIF('Stavební rozpočet'!AZ13:AZ767,"1431_73_",'Stavební rozpočet'!AX13:AX767)</f>
        <v>19325.002800000002</v>
      </c>
      <c r="L32" s="38">
        <f>SUMIF('Stavební rozpočet'!AZ13:AZ767,"1431_73_",'Stavební rozpočet'!AV13:AV767)</f>
        <v>19325.002800000002</v>
      </c>
      <c r="M32" s="33" t="s">
        <v>129</v>
      </c>
      <c r="N32" s="35">
        <f t="shared" si="0"/>
        <v>19325.002800000002</v>
      </c>
      <c r="O32" s="17" t="s">
        <v>62</v>
      </c>
      <c r="P32" s="35">
        <f t="shared" si="1"/>
        <v>0</v>
      </c>
    </row>
    <row r="33" spans="1:16">
      <c r="A33" s="25" t="s">
        <v>62</v>
      </c>
      <c r="B33" s="17" t="s">
        <v>104</v>
      </c>
      <c r="C33" s="115" t="s">
        <v>119</v>
      </c>
      <c r="D33" s="105"/>
      <c r="E33" s="105"/>
      <c r="F33" s="105"/>
      <c r="G33" s="105"/>
      <c r="H33" s="105"/>
      <c r="I33" s="105"/>
      <c r="J33" s="35">
        <f>SUMIF('Stavební rozpočet'!AZ13:AZ767,"1431_9_",'Stavební rozpočet'!AW13:AW767)</f>
        <v>0</v>
      </c>
      <c r="K33" s="35">
        <f>SUMIF('Stavební rozpočet'!AZ13:AZ767,"1431_9_",'Stavební rozpočet'!AX13:AX767)</f>
        <v>14000</v>
      </c>
      <c r="L33" s="38">
        <f>SUMIF('Stavební rozpočet'!AZ13:AZ767,"1431_9_",'Stavební rozpočet'!AV13:AV767)</f>
        <v>14000</v>
      </c>
      <c r="M33" s="33" t="s">
        <v>129</v>
      </c>
      <c r="N33" s="35">
        <f t="shared" si="0"/>
        <v>14000</v>
      </c>
      <c r="O33" s="17" t="s">
        <v>62</v>
      </c>
      <c r="P33" s="35">
        <f t="shared" si="1"/>
        <v>0</v>
      </c>
    </row>
    <row r="34" spans="1:16">
      <c r="A34" s="25" t="s">
        <v>63</v>
      </c>
      <c r="B34" s="17"/>
      <c r="C34" s="115" t="s">
        <v>79</v>
      </c>
      <c r="D34" s="105"/>
      <c r="E34" s="105"/>
      <c r="F34" s="105"/>
      <c r="G34" s="105"/>
      <c r="H34" s="105"/>
      <c r="I34" s="105"/>
      <c r="J34" s="35">
        <f>'Stavební rozpočet'!J309</f>
        <v>103197.6</v>
      </c>
      <c r="K34" s="35">
        <f>'Stavební rozpočet'!K309</f>
        <v>88038.349560000002</v>
      </c>
      <c r="L34" s="38">
        <f>'Stavební rozpočet'!L309</f>
        <v>191235.94956000001</v>
      </c>
      <c r="M34" s="33" t="s">
        <v>96</v>
      </c>
      <c r="N34" s="35">
        <f t="shared" si="0"/>
        <v>0</v>
      </c>
      <c r="O34" s="17" t="s">
        <v>63</v>
      </c>
      <c r="P34" s="35">
        <f t="shared" si="1"/>
        <v>191235.94956000001</v>
      </c>
    </row>
    <row r="35" spans="1:16">
      <c r="A35" s="25" t="s">
        <v>63</v>
      </c>
      <c r="B35" s="17" t="s">
        <v>107</v>
      </c>
      <c r="C35" s="115" t="s">
        <v>122</v>
      </c>
      <c r="D35" s="105"/>
      <c r="E35" s="105"/>
      <c r="F35" s="105"/>
      <c r="G35" s="105"/>
      <c r="H35" s="105"/>
      <c r="I35" s="105"/>
      <c r="J35" s="35">
        <f>SUMIF('Stavební rozpočet'!AZ13:AZ767,"1432_73_",'Stavební rozpočet'!AW13:AW767)</f>
        <v>103197.6</v>
      </c>
      <c r="K35" s="35">
        <f>SUMIF('Stavební rozpočet'!AZ13:AZ767,"1432_73_",'Stavební rozpočet'!AX13:AX767)</f>
        <v>60938.349560000002</v>
      </c>
      <c r="L35" s="38">
        <f>SUMIF('Stavební rozpočet'!AZ13:AZ767,"1432_73_",'Stavební rozpočet'!AV13:AV767)</f>
        <v>164135.94955999998</v>
      </c>
      <c r="M35" s="33" t="s">
        <v>129</v>
      </c>
      <c r="N35" s="35">
        <f t="shared" si="0"/>
        <v>164135.94955999998</v>
      </c>
      <c r="O35" s="17" t="s">
        <v>63</v>
      </c>
      <c r="P35" s="35">
        <f t="shared" si="1"/>
        <v>0</v>
      </c>
    </row>
    <row r="36" spans="1:16">
      <c r="A36" s="25" t="s">
        <v>63</v>
      </c>
      <c r="B36" s="17" t="s">
        <v>104</v>
      </c>
      <c r="C36" s="115" t="s">
        <v>119</v>
      </c>
      <c r="D36" s="105"/>
      <c r="E36" s="105"/>
      <c r="F36" s="105"/>
      <c r="G36" s="105"/>
      <c r="H36" s="105"/>
      <c r="I36" s="105"/>
      <c r="J36" s="35">
        <f>SUMIF('Stavební rozpočet'!AZ13:AZ767,"1432_9_",'Stavební rozpočet'!AW13:AW767)</f>
        <v>0</v>
      </c>
      <c r="K36" s="35">
        <f>SUMIF('Stavební rozpočet'!AZ13:AZ767,"1432_9_",'Stavební rozpočet'!AX13:AX767)</f>
        <v>27100</v>
      </c>
      <c r="L36" s="38">
        <f>SUMIF('Stavební rozpočet'!AZ13:AZ767,"1432_9_",'Stavební rozpočet'!AV13:AV767)</f>
        <v>27100</v>
      </c>
      <c r="M36" s="33" t="s">
        <v>129</v>
      </c>
      <c r="N36" s="35">
        <f t="shared" si="0"/>
        <v>27100</v>
      </c>
      <c r="O36" s="17" t="s">
        <v>63</v>
      </c>
      <c r="P36" s="35">
        <f t="shared" si="1"/>
        <v>0</v>
      </c>
    </row>
    <row r="37" spans="1:16">
      <c r="A37" s="25" t="s">
        <v>64</v>
      </c>
      <c r="B37" s="17"/>
      <c r="C37" s="115" t="s">
        <v>80</v>
      </c>
      <c r="D37" s="105"/>
      <c r="E37" s="105"/>
      <c r="F37" s="105"/>
      <c r="G37" s="105"/>
      <c r="H37" s="105"/>
      <c r="I37" s="105"/>
      <c r="J37" s="35">
        <f>'Stavební rozpočet'!J358</f>
        <v>43594</v>
      </c>
      <c r="K37" s="35">
        <f>'Stavební rozpočet'!K358</f>
        <v>24907.958500000001</v>
      </c>
      <c r="L37" s="38">
        <f>'Stavební rozpočet'!L358</f>
        <v>68501.958499999993</v>
      </c>
      <c r="M37" s="33" t="s">
        <v>96</v>
      </c>
      <c r="N37" s="35">
        <f t="shared" si="0"/>
        <v>0</v>
      </c>
      <c r="O37" s="17" t="s">
        <v>64</v>
      </c>
      <c r="P37" s="35">
        <f t="shared" si="1"/>
        <v>68501.958499999993</v>
      </c>
    </row>
    <row r="38" spans="1:16">
      <c r="A38" s="25" t="s">
        <v>64</v>
      </c>
      <c r="B38" s="17" t="s">
        <v>105</v>
      </c>
      <c r="C38" s="115" t="s">
        <v>120</v>
      </c>
      <c r="D38" s="105"/>
      <c r="E38" s="105"/>
      <c r="F38" s="105"/>
      <c r="G38" s="105"/>
      <c r="H38" s="105"/>
      <c r="I38" s="105"/>
      <c r="J38" s="35">
        <f>SUMIF('Stavební rozpočet'!AZ13:AZ767,"1433_71_",'Stavební rozpočet'!AW13:AW767)</f>
        <v>579.70000000000005</v>
      </c>
      <c r="K38" s="35">
        <f>SUMIF('Stavební rozpočet'!AZ13:AZ767,"1433_71_",'Stavební rozpočet'!AX13:AX767)</f>
        <v>267.86</v>
      </c>
      <c r="L38" s="38">
        <f>SUMIF('Stavební rozpočet'!AZ13:AZ767,"1433_71_",'Stavební rozpočet'!AV13:AV767)</f>
        <v>847.56000000000006</v>
      </c>
      <c r="M38" s="33" t="s">
        <v>129</v>
      </c>
      <c r="N38" s="35">
        <f t="shared" si="0"/>
        <v>847.56000000000006</v>
      </c>
      <c r="O38" s="17" t="s">
        <v>64</v>
      </c>
      <c r="P38" s="35">
        <f t="shared" si="1"/>
        <v>0</v>
      </c>
    </row>
    <row r="39" spans="1:16">
      <c r="A39" s="25" t="s">
        <v>64</v>
      </c>
      <c r="B39" s="17" t="s">
        <v>107</v>
      </c>
      <c r="C39" s="115" t="s">
        <v>122</v>
      </c>
      <c r="D39" s="105"/>
      <c r="E39" s="105"/>
      <c r="F39" s="105"/>
      <c r="G39" s="105"/>
      <c r="H39" s="105"/>
      <c r="I39" s="105"/>
      <c r="J39" s="35">
        <f>SUMIF('Stavební rozpočet'!AZ13:AZ767,"1433_73_",'Stavební rozpočet'!AW13:AW767)</f>
        <v>43014.3</v>
      </c>
      <c r="K39" s="35">
        <f>SUMIF('Stavební rozpočet'!AZ13:AZ767,"1433_73_",'Stavební rozpočet'!AX13:AX767)</f>
        <v>17634.548499999997</v>
      </c>
      <c r="L39" s="38">
        <f>SUMIF('Stavební rozpočet'!AZ13:AZ767,"1433_73_",'Stavební rozpočet'!AV13:AV767)</f>
        <v>60648.8485</v>
      </c>
      <c r="M39" s="33" t="s">
        <v>129</v>
      </c>
      <c r="N39" s="35">
        <f t="shared" si="0"/>
        <v>60648.8485</v>
      </c>
      <c r="O39" s="17" t="s">
        <v>64</v>
      </c>
      <c r="P39" s="35">
        <f t="shared" si="1"/>
        <v>0</v>
      </c>
    </row>
    <row r="40" spans="1:16">
      <c r="A40" s="25" t="s">
        <v>64</v>
      </c>
      <c r="B40" s="17" t="s">
        <v>108</v>
      </c>
      <c r="C40" s="115" t="s">
        <v>123</v>
      </c>
      <c r="D40" s="105"/>
      <c r="E40" s="105"/>
      <c r="F40" s="105"/>
      <c r="G40" s="105"/>
      <c r="H40" s="105"/>
      <c r="I40" s="105"/>
      <c r="J40" s="35">
        <f>SUMIF('Stavební rozpočet'!AZ13:AZ767,"1433_74_",'Stavební rozpočet'!AW13:AW767)</f>
        <v>0</v>
      </c>
      <c r="K40" s="35">
        <f>SUMIF('Stavební rozpočet'!AZ13:AZ767,"1433_74_",'Stavební rozpočet'!AX13:AX767)</f>
        <v>755.55</v>
      </c>
      <c r="L40" s="38">
        <f>SUMIF('Stavební rozpočet'!AZ13:AZ767,"1433_74_",'Stavební rozpočet'!AV13:AV767)</f>
        <v>755.55</v>
      </c>
      <c r="M40" s="33" t="s">
        <v>129</v>
      </c>
      <c r="N40" s="35">
        <f t="shared" si="0"/>
        <v>755.55</v>
      </c>
      <c r="O40" s="17" t="s">
        <v>64</v>
      </c>
      <c r="P40" s="35">
        <f t="shared" si="1"/>
        <v>0</v>
      </c>
    </row>
    <row r="41" spans="1:16">
      <c r="A41" s="25" t="s">
        <v>64</v>
      </c>
      <c r="B41" s="17" t="s">
        <v>103</v>
      </c>
      <c r="C41" s="115" t="s">
        <v>118</v>
      </c>
      <c r="D41" s="105"/>
      <c r="E41" s="105"/>
      <c r="F41" s="105"/>
      <c r="G41" s="105"/>
      <c r="H41" s="105"/>
      <c r="I41" s="105"/>
      <c r="J41" s="35">
        <f>SUMIF('Stavební rozpočet'!AZ13:AZ767,"1433_78_",'Stavební rozpočet'!AW13:AW767)</f>
        <v>0</v>
      </c>
      <c r="K41" s="35">
        <f>SUMIF('Stavební rozpočet'!AZ13:AZ767,"1433_78_",'Stavební rozpočet'!AX13:AX767)</f>
        <v>250</v>
      </c>
      <c r="L41" s="38">
        <f>SUMIF('Stavební rozpočet'!AZ13:AZ767,"1433_78_",'Stavební rozpočet'!AV13:AV767)</f>
        <v>250</v>
      </c>
      <c r="M41" s="33" t="s">
        <v>129</v>
      </c>
      <c r="N41" s="35">
        <f t="shared" si="0"/>
        <v>250</v>
      </c>
      <c r="O41" s="17" t="s">
        <v>64</v>
      </c>
      <c r="P41" s="35">
        <f t="shared" si="1"/>
        <v>0</v>
      </c>
    </row>
    <row r="42" spans="1:16">
      <c r="A42" s="25" t="s">
        <v>64</v>
      </c>
      <c r="B42" s="17" t="s">
        <v>104</v>
      </c>
      <c r="C42" s="115" t="s">
        <v>119</v>
      </c>
      <c r="D42" s="105"/>
      <c r="E42" s="105"/>
      <c r="F42" s="105"/>
      <c r="G42" s="105"/>
      <c r="H42" s="105"/>
      <c r="I42" s="105"/>
      <c r="J42" s="35">
        <f>SUMIF('Stavební rozpočet'!AZ13:AZ767,"1433_9_",'Stavební rozpočet'!AW13:AW767)</f>
        <v>0</v>
      </c>
      <c r="K42" s="35">
        <f>SUMIF('Stavební rozpočet'!AZ13:AZ767,"1433_9_",'Stavební rozpočet'!AX13:AX767)</f>
        <v>6000</v>
      </c>
      <c r="L42" s="38">
        <f>SUMIF('Stavební rozpočet'!AZ13:AZ767,"1433_9_",'Stavební rozpočet'!AV13:AV767)</f>
        <v>6000</v>
      </c>
      <c r="M42" s="33" t="s">
        <v>129</v>
      </c>
      <c r="N42" s="35">
        <f t="shared" si="0"/>
        <v>6000</v>
      </c>
      <c r="O42" s="17" t="s">
        <v>64</v>
      </c>
      <c r="P42" s="35">
        <f t="shared" si="1"/>
        <v>0</v>
      </c>
    </row>
    <row r="43" spans="1:16">
      <c r="A43" s="25" t="s">
        <v>65</v>
      </c>
      <c r="B43" s="17"/>
      <c r="C43" s="115" t="s">
        <v>81</v>
      </c>
      <c r="D43" s="105"/>
      <c r="E43" s="105"/>
      <c r="F43" s="105"/>
      <c r="G43" s="105"/>
      <c r="H43" s="105"/>
      <c r="I43" s="105"/>
      <c r="J43" s="35">
        <f>'Stavební rozpočet'!J436</f>
        <v>65295.4</v>
      </c>
      <c r="K43" s="35">
        <f>'Stavební rozpočet'!K436</f>
        <v>86847</v>
      </c>
      <c r="L43" s="38">
        <f>'Stavební rozpočet'!L436</f>
        <v>152142.39999999999</v>
      </c>
      <c r="M43" s="33" t="s">
        <v>96</v>
      </c>
      <c r="N43" s="35">
        <f t="shared" si="0"/>
        <v>0</v>
      </c>
      <c r="O43" s="17" t="s">
        <v>65</v>
      </c>
      <c r="P43" s="35">
        <f t="shared" si="1"/>
        <v>152142.39999999999</v>
      </c>
    </row>
    <row r="44" spans="1:16">
      <c r="A44" s="25" t="s">
        <v>65</v>
      </c>
      <c r="B44" s="17" t="s">
        <v>104</v>
      </c>
      <c r="C44" s="115" t="s">
        <v>119</v>
      </c>
      <c r="D44" s="105"/>
      <c r="E44" s="105"/>
      <c r="F44" s="105"/>
      <c r="G44" s="105"/>
      <c r="H44" s="105"/>
      <c r="I44" s="105"/>
      <c r="J44" s="35">
        <f>SUMIF('Stavební rozpočet'!AZ13:AZ767,"1442_9_",'Stavební rozpočet'!AW13:AW767)</f>
        <v>65295.4</v>
      </c>
      <c r="K44" s="35">
        <f>SUMIF('Stavební rozpočet'!AZ13:AZ767,"1442_9_",'Stavební rozpočet'!AX13:AX767)</f>
        <v>86847</v>
      </c>
      <c r="L44" s="38">
        <f>SUMIF('Stavební rozpočet'!AZ13:AZ767,"1442_9_",'Stavební rozpočet'!AV13:AV767)</f>
        <v>152142.39999999999</v>
      </c>
      <c r="M44" s="33" t="s">
        <v>129</v>
      </c>
      <c r="N44" s="35">
        <f t="shared" ref="N44:N75" si="2">IF(M44="F",0,L44)</f>
        <v>152142.39999999999</v>
      </c>
      <c r="O44" s="17" t="s">
        <v>65</v>
      </c>
      <c r="P44" s="35">
        <f t="shared" ref="P44:P76" si="3">IF(M44="T",0,L44)</f>
        <v>0</v>
      </c>
    </row>
    <row r="45" spans="1:16">
      <c r="A45" s="25" t="s">
        <v>66</v>
      </c>
      <c r="B45" s="17"/>
      <c r="C45" s="115" t="s">
        <v>82</v>
      </c>
      <c r="D45" s="105"/>
      <c r="E45" s="105"/>
      <c r="F45" s="105"/>
      <c r="G45" s="105"/>
      <c r="H45" s="105"/>
      <c r="I45" s="105"/>
      <c r="J45" s="35">
        <f>'Stavební rozpočet'!J464</f>
        <v>308988.90000000002</v>
      </c>
      <c r="K45" s="35">
        <f>'Stavební rozpočet'!K464</f>
        <v>185146</v>
      </c>
      <c r="L45" s="38">
        <f>'Stavební rozpočet'!L464</f>
        <v>494134.9</v>
      </c>
      <c r="M45" s="33" t="s">
        <v>96</v>
      </c>
      <c r="N45" s="35">
        <f t="shared" si="2"/>
        <v>0</v>
      </c>
      <c r="O45" s="17" t="s">
        <v>66</v>
      </c>
      <c r="P45" s="35">
        <f t="shared" si="3"/>
        <v>494134.9</v>
      </c>
    </row>
    <row r="46" spans="1:16">
      <c r="A46" s="25" t="s">
        <v>66</v>
      </c>
      <c r="B46" s="17" t="s">
        <v>104</v>
      </c>
      <c r="C46" s="115" t="s">
        <v>119</v>
      </c>
      <c r="D46" s="105"/>
      <c r="E46" s="105"/>
      <c r="F46" s="105"/>
      <c r="G46" s="105"/>
      <c r="H46" s="105"/>
      <c r="I46" s="105"/>
      <c r="J46" s="35">
        <f>SUMIF('Stavební rozpočet'!AZ13:AZ767,"1443_9_",'Stavební rozpočet'!AW13:AW767)</f>
        <v>308988.90000000002</v>
      </c>
      <c r="K46" s="35">
        <f>SUMIF('Stavební rozpočet'!AZ13:AZ767,"1443_9_",'Stavební rozpočet'!AX13:AX767)</f>
        <v>185146</v>
      </c>
      <c r="L46" s="38">
        <f>SUMIF('Stavební rozpočet'!AZ13:AZ767,"1443_9_",'Stavební rozpočet'!AV13:AV767)</f>
        <v>494134.9</v>
      </c>
      <c r="M46" s="33" t="s">
        <v>129</v>
      </c>
      <c r="N46" s="35">
        <f t="shared" si="2"/>
        <v>494134.9</v>
      </c>
      <c r="O46" s="17" t="s">
        <v>66</v>
      </c>
      <c r="P46" s="35">
        <f t="shared" si="3"/>
        <v>0</v>
      </c>
    </row>
    <row r="47" spans="1:16">
      <c r="A47" s="25" t="s">
        <v>67</v>
      </c>
      <c r="B47" s="17"/>
      <c r="C47" s="115" t="s">
        <v>83</v>
      </c>
      <c r="D47" s="105"/>
      <c r="E47" s="105"/>
      <c r="F47" s="105"/>
      <c r="G47" s="105"/>
      <c r="H47" s="105"/>
      <c r="I47" s="105"/>
      <c r="J47" s="35">
        <f>'Stavební rozpočet'!J494</f>
        <v>77882.5</v>
      </c>
      <c r="K47" s="35">
        <f>'Stavební rozpočet'!K494</f>
        <v>41813</v>
      </c>
      <c r="L47" s="38">
        <f>'Stavební rozpočet'!L494</f>
        <v>119695.5</v>
      </c>
      <c r="M47" s="33" t="s">
        <v>96</v>
      </c>
      <c r="N47" s="35">
        <f t="shared" si="2"/>
        <v>0</v>
      </c>
      <c r="O47" s="17" t="s">
        <v>67</v>
      </c>
      <c r="P47" s="35">
        <f t="shared" si="3"/>
        <v>119695.5</v>
      </c>
    </row>
    <row r="48" spans="1:16">
      <c r="A48" s="25" t="s">
        <v>67</v>
      </c>
      <c r="B48" s="17" t="s">
        <v>104</v>
      </c>
      <c r="C48" s="115" t="s">
        <v>119</v>
      </c>
      <c r="D48" s="105"/>
      <c r="E48" s="105"/>
      <c r="F48" s="105"/>
      <c r="G48" s="105"/>
      <c r="H48" s="105"/>
      <c r="I48" s="105"/>
      <c r="J48" s="35">
        <f>SUMIF('Stavební rozpočet'!AZ13:AZ767,"1444_9_",'Stavební rozpočet'!AW13:AW767)</f>
        <v>77882.5</v>
      </c>
      <c r="K48" s="35">
        <f>SUMIF('Stavební rozpočet'!AZ13:AZ767,"1444_9_",'Stavební rozpočet'!AX13:AX767)</f>
        <v>41813</v>
      </c>
      <c r="L48" s="38">
        <f>SUMIF('Stavební rozpočet'!AZ13:AZ767,"1444_9_",'Stavební rozpočet'!AV13:AV767)</f>
        <v>119695.5</v>
      </c>
      <c r="M48" s="33" t="s">
        <v>129</v>
      </c>
      <c r="N48" s="35">
        <f t="shared" si="2"/>
        <v>119695.5</v>
      </c>
      <c r="O48" s="17" t="s">
        <v>67</v>
      </c>
      <c r="P48" s="35">
        <f t="shared" si="3"/>
        <v>0</v>
      </c>
    </row>
    <row r="49" spans="1:16">
      <c r="A49" s="25" t="s">
        <v>68</v>
      </c>
      <c r="B49" s="17"/>
      <c r="C49" s="115" t="s">
        <v>84</v>
      </c>
      <c r="D49" s="105"/>
      <c r="E49" s="105"/>
      <c r="F49" s="105"/>
      <c r="G49" s="105"/>
      <c r="H49" s="105"/>
      <c r="I49" s="105"/>
      <c r="J49" s="35">
        <f>'Stavební rozpočet'!J523</f>
        <v>80</v>
      </c>
      <c r="K49" s="35">
        <f>'Stavební rozpočet'!K523</f>
        <v>249.70804000000001</v>
      </c>
      <c r="L49" s="38">
        <f>'Stavební rozpočet'!L523</f>
        <v>329.70804000000004</v>
      </c>
      <c r="M49" s="33" t="s">
        <v>96</v>
      </c>
      <c r="N49" s="35">
        <f t="shared" si="2"/>
        <v>0</v>
      </c>
      <c r="O49" s="17" t="s">
        <v>68</v>
      </c>
      <c r="P49" s="35">
        <f t="shared" si="3"/>
        <v>329.70804000000004</v>
      </c>
    </row>
    <row r="50" spans="1:16">
      <c r="A50" s="25" t="s">
        <v>68</v>
      </c>
      <c r="B50" s="17" t="s">
        <v>106</v>
      </c>
      <c r="C50" s="115" t="s">
        <v>121</v>
      </c>
      <c r="D50" s="105"/>
      <c r="E50" s="105"/>
      <c r="F50" s="105"/>
      <c r="G50" s="105"/>
      <c r="H50" s="105"/>
      <c r="I50" s="105"/>
      <c r="J50" s="35">
        <f>SUMIF('Stavební rozpočet'!AZ13:AZ767,"2100_72_",'Stavební rozpočet'!AW13:AW767)</f>
        <v>80</v>
      </c>
      <c r="K50" s="35">
        <f>SUMIF('Stavební rozpočet'!AZ13:AZ767,"2100_72_",'Stavební rozpočet'!AX13:AX767)</f>
        <v>248.8</v>
      </c>
      <c r="L50" s="38">
        <f>SUMIF('Stavební rozpočet'!AZ13:AZ767,"2100_72_",'Stavební rozpočet'!AV13:AV767)</f>
        <v>328.8</v>
      </c>
      <c r="M50" s="33" t="s">
        <v>129</v>
      </c>
      <c r="N50" s="35">
        <f t="shared" si="2"/>
        <v>328.8</v>
      </c>
      <c r="O50" s="17" t="s">
        <v>68</v>
      </c>
      <c r="P50" s="35">
        <f t="shared" si="3"/>
        <v>0</v>
      </c>
    </row>
    <row r="51" spans="1:16">
      <c r="A51" s="25" t="s">
        <v>68</v>
      </c>
      <c r="B51" s="17" t="s">
        <v>104</v>
      </c>
      <c r="C51" s="115" t="s">
        <v>119</v>
      </c>
      <c r="D51" s="105"/>
      <c r="E51" s="105"/>
      <c r="F51" s="105"/>
      <c r="G51" s="105"/>
      <c r="H51" s="105"/>
      <c r="I51" s="105"/>
      <c r="J51" s="35">
        <f>SUMIF('Stavební rozpočet'!AZ13:AZ767,"2100_9_",'Stavební rozpočet'!AW13:AW767)</f>
        <v>0</v>
      </c>
      <c r="K51" s="35">
        <f>SUMIF('Stavební rozpočet'!AZ13:AZ767,"2100_9_",'Stavební rozpočet'!AX13:AX767)</f>
        <v>0.90803999999999996</v>
      </c>
      <c r="L51" s="38">
        <f>SUMIF('Stavební rozpočet'!AZ13:AZ767,"2100_9_",'Stavební rozpočet'!AV13:AV767)</f>
        <v>0.90803999999999996</v>
      </c>
      <c r="M51" s="33" t="s">
        <v>129</v>
      </c>
      <c r="N51" s="35">
        <f t="shared" si="2"/>
        <v>0.90803999999999996</v>
      </c>
      <c r="O51" s="17" t="s">
        <v>68</v>
      </c>
      <c r="P51" s="35">
        <f t="shared" si="3"/>
        <v>0</v>
      </c>
    </row>
    <row r="52" spans="1:16">
      <c r="A52" s="25" t="s">
        <v>69</v>
      </c>
      <c r="B52" s="17"/>
      <c r="C52" s="115" t="s">
        <v>85</v>
      </c>
      <c r="D52" s="105"/>
      <c r="E52" s="105"/>
      <c r="F52" s="105"/>
      <c r="G52" s="105"/>
      <c r="H52" s="105"/>
      <c r="I52" s="105"/>
      <c r="J52" s="35">
        <f>'Stavební rozpočet'!J532</f>
        <v>4448.4650000000001</v>
      </c>
      <c r="K52" s="35">
        <f>'Stavební rozpočet'!K532</f>
        <v>322401.83980000002</v>
      </c>
      <c r="L52" s="38">
        <f>'Stavební rozpočet'!L532</f>
        <v>326850.3048000001</v>
      </c>
      <c r="M52" s="33" t="s">
        <v>96</v>
      </c>
      <c r="N52" s="35">
        <f t="shared" si="2"/>
        <v>0</v>
      </c>
      <c r="O52" s="17" t="s">
        <v>69</v>
      </c>
      <c r="P52" s="35">
        <f t="shared" si="3"/>
        <v>326850.3048000001</v>
      </c>
    </row>
    <row r="53" spans="1:16">
      <c r="A53" s="25" t="s">
        <v>69</v>
      </c>
      <c r="B53" s="17" t="s">
        <v>109</v>
      </c>
      <c r="C53" s="115" t="s">
        <v>124</v>
      </c>
      <c r="D53" s="105"/>
      <c r="E53" s="105"/>
      <c r="F53" s="105"/>
      <c r="G53" s="105"/>
      <c r="H53" s="105"/>
      <c r="I53" s="105"/>
      <c r="J53" s="35">
        <f>SUMIF('Stavební rozpočet'!AZ13:AZ767,"2110_1_",'Stavební rozpočet'!AW13:AW767)</f>
        <v>0</v>
      </c>
      <c r="K53" s="35">
        <f>SUMIF('Stavební rozpočet'!AZ13:AZ767,"2110_1_",'Stavební rozpočet'!AX13:AX767)</f>
        <v>13710.06</v>
      </c>
      <c r="L53" s="38">
        <f>SUMIF('Stavební rozpočet'!AZ13:AZ767,"2110_1_",'Stavební rozpočet'!AV13:AV767)</f>
        <v>13710.06</v>
      </c>
      <c r="M53" s="33" t="s">
        <v>129</v>
      </c>
      <c r="N53" s="35">
        <f t="shared" si="2"/>
        <v>13710.06</v>
      </c>
      <c r="O53" s="17" t="s">
        <v>69</v>
      </c>
      <c r="P53" s="35">
        <f t="shared" si="3"/>
        <v>0</v>
      </c>
    </row>
    <row r="54" spans="1:16">
      <c r="A54" s="25" t="s">
        <v>69</v>
      </c>
      <c r="B54" s="17" t="s">
        <v>110</v>
      </c>
      <c r="C54" s="115" t="s">
        <v>125</v>
      </c>
      <c r="D54" s="105"/>
      <c r="E54" s="105"/>
      <c r="F54" s="105"/>
      <c r="G54" s="105"/>
      <c r="H54" s="105"/>
      <c r="I54" s="105"/>
      <c r="J54" s="35">
        <f>SUMIF('Stavební rozpočet'!AZ13:AZ767,"2110_2_",'Stavební rozpočet'!AW13:AW767)</f>
        <v>0</v>
      </c>
      <c r="K54" s="35">
        <f>SUMIF('Stavební rozpočet'!AZ13:AZ767,"2110_2_",'Stavební rozpočet'!AX13:AX767)</f>
        <v>2118.8704000000002</v>
      </c>
      <c r="L54" s="38">
        <f>SUMIF('Stavební rozpočet'!AZ13:AZ767,"2110_2_",'Stavební rozpočet'!AV13:AV767)</f>
        <v>2118.8704000000002</v>
      </c>
      <c r="M54" s="33" t="s">
        <v>129</v>
      </c>
      <c r="N54" s="35">
        <f t="shared" si="2"/>
        <v>2118.8704000000002</v>
      </c>
      <c r="O54" s="17" t="s">
        <v>69</v>
      </c>
      <c r="P54" s="35">
        <f t="shared" si="3"/>
        <v>0</v>
      </c>
    </row>
    <row r="55" spans="1:16">
      <c r="A55" s="25" t="s">
        <v>69</v>
      </c>
      <c r="B55" s="17" t="s">
        <v>111</v>
      </c>
      <c r="C55" s="115" t="s">
        <v>126</v>
      </c>
      <c r="D55" s="105"/>
      <c r="E55" s="105"/>
      <c r="F55" s="105"/>
      <c r="G55" s="105"/>
      <c r="H55" s="105"/>
      <c r="I55" s="105"/>
      <c r="J55" s="35">
        <f>SUMIF('Stavební rozpočet'!AZ13:AZ767,"2110_4_",'Stavební rozpočet'!AW13:AW767)</f>
        <v>0</v>
      </c>
      <c r="K55" s="35">
        <f>SUMIF('Stavební rozpočet'!AZ13:AZ767,"2110_4_",'Stavební rozpočet'!AX13:AX767)</f>
        <v>9269.8770800000002</v>
      </c>
      <c r="L55" s="38">
        <f>SUMIF('Stavební rozpočet'!AZ13:AZ767,"2110_4_",'Stavební rozpočet'!AV13:AV767)</f>
        <v>9269.8770800000002</v>
      </c>
      <c r="M55" s="33" t="s">
        <v>129</v>
      </c>
      <c r="N55" s="35">
        <f t="shared" si="2"/>
        <v>9269.8770800000002</v>
      </c>
      <c r="O55" s="17" t="s">
        <v>69</v>
      </c>
      <c r="P55" s="35">
        <f t="shared" si="3"/>
        <v>0</v>
      </c>
    </row>
    <row r="56" spans="1:16">
      <c r="A56" s="25" t="s">
        <v>69</v>
      </c>
      <c r="B56" s="17" t="s">
        <v>105</v>
      </c>
      <c r="C56" s="115" t="s">
        <v>120</v>
      </c>
      <c r="D56" s="105"/>
      <c r="E56" s="105"/>
      <c r="F56" s="105"/>
      <c r="G56" s="105"/>
      <c r="H56" s="105"/>
      <c r="I56" s="105"/>
      <c r="J56" s="35">
        <f>SUMIF('Stavební rozpočet'!AZ13:AZ767,"2110_71_",'Stavební rozpočet'!AW13:AW767)</f>
        <v>73.8</v>
      </c>
      <c r="K56" s="35">
        <f>SUMIF('Stavební rozpočet'!AZ13:AZ767,"2110_71_",'Stavební rozpočet'!AX13:AX767)</f>
        <v>11249.538860000001</v>
      </c>
      <c r="L56" s="38">
        <f>SUMIF('Stavební rozpočet'!AZ13:AZ767,"2110_71_",'Stavební rozpočet'!AV13:AV767)</f>
        <v>11323.33886</v>
      </c>
      <c r="M56" s="33" t="s">
        <v>129</v>
      </c>
      <c r="N56" s="35">
        <f t="shared" si="2"/>
        <v>11323.33886</v>
      </c>
      <c r="O56" s="17" t="s">
        <v>69</v>
      </c>
      <c r="P56" s="35">
        <f t="shared" si="3"/>
        <v>0</v>
      </c>
    </row>
    <row r="57" spans="1:16">
      <c r="A57" s="25" t="s">
        <v>69</v>
      </c>
      <c r="B57" s="17" t="s">
        <v>102</v>
      </c>
      <c r="C57" s="115" t="s">
        <v>117</v>
      </c>
      <c r="D57" s="105"/>
      <c r="E57" s="105"/>
      <c r="F57" s="105"/>
      <c r="G57" s="105"/>
      <c r="H57" s="105"/>
      <c r="I57" s="105"/>
      <c r="J57" s="35">
        <f>SUMIF('Stavební rozpočet'!AZ13:AZ767,"2110_77_",'Stavební rozpočet'!AW13:AW767)</f>
        <v>4374.665</v>
      </c>
      <c r="K57" s="35">
        <f>SUMIF('Stavební rozpočet'!AZ13:AZ767,"2110_77_",'Stavební rozpočet'!AX13:AX767)</f>
        <v>24521.519030000003</v>
      </c>
      <c r="L57" s="38">
        <f>SUMIF('Stavební rozpočet'!AZ13:AZ767,"2110_77_",'Stavební rozpočet'!AV13:AV767)</f>
        <v>28896.184030000004</v>
      </c>
      <c r="M57" s="33" t="s">
        <v>129</v>
      </c>
      <c r="N57" s="35">
        <f t="shared" si="2"/>
        <v>28896.184030000004</v>
      </c>
      <c r="O57" s="17" t="s">
        <v>69</v>
      </c>
      <c r="P57" s="35">
        <f t="shared" si="3"/>
        <v>0</v>
      </c>
    </row>
    <row r="58" spans="1:16">
      <c r="A58" s="25" t="s">
        <v>69</v>
      </c>
      <c r="B58" s="17" t="s">
        <v>104</v>
      </c>
      <c r="C58" s="115" t="s">
        <v>119</v>
      </c>
      <c r="D58" s="105"/>
      <c r="E58" s="105"/>
      <c r="F58" s="105"/>
      <c r="G58" s="105"/>
      <c r="H58" s="105"/>
      <c r="I58" s="105"/>
      <c r="J58" s="35">
        <f>SUMIF('Stavební rozpočet'!AZ13:AZ767,"2110_9_",'Stavební rozpočet'!AW13:AW767)</f>
        <v>0</v>
      </c>
      <c r="K58" s="35">
        <f>SUMIF('Stavební rozpočet'!AZ13:AZ767,"2110_9_",'Stavební rozpočet'!AX13:AX767)</f>
        <v>261531.97443000003</v>
      </c>
      <c r="L58" s="38">
        <f>SUMIF('Stavební rozpočet'!AZ13:AZ767,"2110_9_",'Stavební rozpočet'!AV13:AV767)</f>
        <v>261531.97443000003</v>
      </c>
      <c r="M58" s="33" t="s">
        <v>129</v>
      </c>
      <c r="N58" s="35">
        <f t="shared" si="2"/>
        <v>261531.97443000003</v>
      </c>
      <c r="O58" s="17" t="s">
        <v>69</v>
      </c>
      <c r="P58" s="35">
        <f t="shared" si="3"/>
        <v>0</v>
      </c>
    </row>
    <row r="59" spans="1:16">
      <c r="A59" s="25" t="s">
        <v>70</v>
      </c>
      <c r="B59" s="17"/>
      <c r="C59" s="115" t="s">
        <v>86</v>
      </c>
      <c r="D59" s="105"/>
      <c r="E59" s="105"/>
      <c r="F59" s="105"/>
      <c r="G59" s="105"/>
      <c r="H59" s="105"/>
      <c r="I59" s="105"/>
      <c r="J59" s="35">
        <f>'Stavební rozpočet'!J587</f>
        <v>34586.556639999995</v>
      </c>
      <c r="K59" s="35">
        <f>'Stavební rozpočet'!K587</f>
        <v>411481.52672000002</v>
      </c>
      <c r="L59" s="38">
        <f>'Stavební rozpočet'!L587</f>
        <v>446068.08335999999</v>
      </c>
      <c r="M59" s="33" t="s">
        <v>96</v>
      </c>
      <c r="N59" s="35">
        <f t="shared" si="2"/>
        <v>0</v>
      </c>
      <c r="O59" s="17" t="s">
        <v>70</v>
      </c>
      <c r="P59" s="35">
        <f t="shared" si="3"/>
        <v>446068.08335999999</v>
      </c>
    </row>
    <row r="60" spans="1:16">
      <c r="A60" s="25" t="s">
        <v>70</v>
      </c>
      <c r="B60" s="17" t="s">
        <v>101</v>
      </c>
      <c r="C60" s="115" t="s">
        <v>116</v>
      </c>
      <c r="D60" s="105"/>
      <c r="E60" s="105"/>
      <c r="F60" s="105"/>
      <c r="G60" s="105"/>
      <c r="H60" s="105"/>
      <c r="I60" s="105"/>
      <c r="J60" s="35">
        <f>SUMIF('Stavební rozpočet'!AZ13:AZ767,"2120_76_",'Stavební rozpočet'!AW13:AW767)</f>
        <v>34586.556639999995</v>
      </c>
      <c r="K60" s="35">
        <f>SUMIF('Stavební rozpočet'!AZ13:AZ767,"2120_76_",'Stavební rozpočet'!AX13:AX767)</f>
        <v>155841.22902999999</v>
      </c>
      <c r="L60" s="38">
        <f>SUMIF('Stavební rozpočet'!AZ13:AZ767,"2120_76_",'Stavební rozpočet'!AV13:AV767)</f>
        <v>190427.78566999995</v>
      </c>
      <c r="M60" s="33" t="s">
        <v>129</v>
      </c>
      <c r="N60" s="35">
        <f t="shared" si="2"/>
        <v>190427.78566999995</v>
      </c>
      <c r="O60" s="17" t="s">
        <v>70</v>
      </c>
      <c r="P60" s="35">
        <f t="shared" si="3"/>
        <v>0</v>
      </c>
    </row>
    <row r="61" spans="1:16">
      <c r="A61" s="25" t="s">
        <v>70</v>
      </c>
      <c r="B61" s="17" t="s">
        <v>103</v>
      </c>
      <c r="C61" s="115" t="s">
        <v>118</v>
      </c>
      <c r="D61" s="105"/>
      <c r="E61" s="105"/>
      <c r="F61" s="105"/>
      <c r="G61" s="105"/>
      <c r="H61" s="105"/>
      <c r="I61" s="105"/>
      <c r="J61" s="35">
        <f>SUMIF('Stavební rozpočet'!AZ13:AZ767,"2120_78_",'Stavební rozpočet'!AW13:AW767)</f>
        <v>0</v>
      </c>
      <c r="K61" s="35">
        <f>SUMIF('Stavební rozpočet'!AZ13:AZ767,"2120_78_",'Stavební rozpočet'!AX13:AX767)</f>
        <v>255021.94900000002</v>
      </c>
      <c r="L61" s="38">
        <f>SUMIF('Stavební rozpočet'!AZ13:AZ767,"2120_78_",'Stavební rozpočet'!AV13:AV767)</f>
        <v>255021.94900000002</v>
      </c>
      <c r="M61" s="33" t="s">
        <v>129</v>
      </c>
      <c r="N61" s="35">
        <f t="shared" si="2"/>
        <v>255021.94900000002</v>
      </c>
      <c r="O61" s="17" t="s">
        <v>70</v>
      </c>
      <c r="P61" s="35">
        <f t="shared" si="3"/>
        <v>0</v>
      </c>
    </row>
    <row r="62" spans="1:16">
      <c r="A62" s="25" t="s">
        <v>70</v>
      </c>
      <c r="B62" s="17" t="s">
        <v>104</v>
      </c>
      <c r="C62" s="115" t="s">
        <v>119</v>
      </c>
      <c r="D62" s="105"/>
      <c r="E62" s="105"/>
      <c r="F62" s="105"/>
      <c r="G62" s="105"/>
      <c r="H62" s="105"/>
      <c r="I62" s="105"/>
      <c r="J62" s="35">
        <f>SUMIF('Stavební rozpočet'!AZ13:AZ767,"2120_9_",'Stavební rozpočet'!AW13:AW767)</f>
        <v>0</v>
      </c>
      <c r="K62" s="35">
        <f>SUMIF('Stavební rozpočet'!AZ13:AZ767,"2120_9_",'Stavební rozpočet'!AX13:AX767)</f>
        <v>618.34868999999992</v>
      </c>
      <c r="L62" s="38">
        <f>SUMIF('Stavební rozpočet'!AZ13:AZ767,"2120_9_",'Stavební rozpočet'!AV13:AV767)</f>
        <v>618.34868999999992</v>
      </c>
      <c r="M62" s="33" t="s">
        <v>129</v>
      </c>
      <c r="N62" s="35">
        <f t="shared" si="2"/>
        <v>618.34868999999992</v>
      </c>
      <c r="O62" s="17" t="s">
        <v>70</v>
      </c>
      <c r="P62" s="35">
        <f t="shared" si="3"/>
        <v>0</v>
      </c>
    </row>
    <row r="63" spans="1:16">
      <c r="A63" s="25" t="s">
        <v>71</v>
      </c>
      <c r="B63" s="17"/>
      <c r="C63" s="115" t="s">
        <v>87</v>
      </c>
      <c r="D63" s="105"/>
      <c r="E63" s="105"/>
      <c r="F63" s="105"/>
      <c r="G63" s="105"/>
      <c r="H63" s="105"/>
      <c r="I63" s="105"/>
      <c r="J63" s="35">
        <f>'Stavební rozpočet'!J609</f>
        <v>423615.95497499994</v>
      </c>
      <c r="K63" s="35">
        <f>'Stavební rozpočet'!K609</f>
        <v>999464.68573999987</v>
      </c>
      <c r="L63" s="38">
        <f>'Stavební rozpočet'!L609</f>
        <v>1423080.6407149998</v>
      </c>
      <c r="M63" s="33" t="s">
        <v>96</v>
      </c>
      <c r="N63" s="35">
        <f t="shared" si="2"/>
        <v>0</v>
      </c>
      <c r="O63" s="17" t="s">
        <v>71</v>
      </c>
      <c r="P63" s="35">
        <f t="shared" si="3"/>
        <v>1423080.6407149998</v>
      </c>
    </row>
    <row r="64" spans="1:16">
      <c r="A64" s="25" t="s">
        <v>71</v>
      </c>
      <c r="B64" s="17" t="s">
        <v>109</v>
      </c>
      <c r="C64" s="115" t="s">
        <v>124</v>
      </c>
      <c r="D64" s="105"/>
      <c r="E64" s="105"/>
      <c r="F64" s="105"/>
      <c r="G64" s="105"/>
      <c r="H64" s="105"/>
      <c r="I64" s="105"/>
      <c r="J64" s="35">
        <f>SUMIF('Stavební rozpočet'!AZ13:AZ767,"2130_1_",'Stavební rozpočet'!AW13:AW767)</f>
        <v>50828.640800000001</v>
      </c>
      <c r="K64" s="35">
        <f>SUMIF('Stavební rozpočet'!AZ13:AZ767,"2130_1_",'Stavební rozpočet'!AX13:AX767)</f>
        <v>348565.50100000005</v>
      </c>
      <c r="L64" s="38">
        <f>SUMIF('Stavební rozpočet'!AZ13:AZ767,"2130_1_",'Stavební rozpočet'!AV13:AV767)</f>
        <v>399394.14180000004</v>
      </c>
      <c r="M64" s="33" t="s">
        <v>129</v>
      </c>
      <c r="N64" s="35">
        <f t="shared" si="2"/>
        <v>399394.14180000004</v>
      </c>
      <c r="O64" s="17" t="s">
        <v>71</v>
      </c>
      <c r="P64" s="35">
        <f t="shared" si="3"/>
        <v>0</v>
      </c>
    </row>
    <row r="65" spans="1:16">
      <c r="A65" s="25" t="s">
        <v>71</v>
      </c>
      <c r="B65" s="17" t="s">
        <v>110</v>
      </c>
      <c r="C65" s="115" t="s">
        <v>125</v>
      </c>
      <c r="D65" s="105"/>
      <c r="E65" s="105"/>
      <c r="F65" s="105"/>
      <c r="G65" s="105"/>
      <c r="H65" s="105"/>
      <c r="I65" s="105"/>
      <c r="J65" s="35">
        <f>SUMIF('Stavební rozpočet'!AZ13:AZ767,"2130_2_",'Stavební rozpočet'!AW13:AW767)</f>
        <v>49062.600000000006</v>
      </c>
      <c r="K65" s="35">
        <f>SUMIF('Stavební rozpočet'!AZ13:AZ767,"2130_2_",'Stavební rozpočet'!AX13:AX767)</f>
        <v>15132</v>
      </c>
      <c r="L65" s="38">
        <f>SUMIF('Stavební rozpočet'!AZ13:AZ767,"2130_2_",'Stavební rozpočet'!AV13:AV767)</f>
        <v>64194.600000000006</v>
      </c>
      <c r="M65" s="33" t="s">
        <v>129</v>
      </c>
      <c r="N65" s="35">
        <f t="shared" si="2"/>
        <v>64194.600000000006</v>
      </c>
      <c r="O65" s="17" t="s">
        <v>71</v>
      </c>
      <c r="P65" s="35">
        <f t="shared" si="3"/>
        <v>0</v>
      </c>
    </row>
    <row r="66" spans="1:16">
      <c r="A66" s="25" t="s">
        <v>71</v>
      </c>
      <c r="B66" s="17" t="s">
        <v>111</v>
      </c>
      <c r="C66" s="115" t="s">
        <v>126</v>
      </c>
      <c r="D66" s="105"/>
      <c r="E66" s="105"/>
      <c r="F66" s="105"/>
      <c r="G66" s="105"/>
      <c r="H66" s="105"/>
      <c r="I66" s="105"/>
      <c r="J66" s="35">
        <f>SUMIF('Stavební rozpočet'!AZ13:AZ767,"2130_4_",'Stavební rozpočet'!AW13:AW767)</f>
        <v>0</v>
      </c>
      <c r="K66" s="35">
        <f>SUMIF('Stavební rozpočet'!AZ13:AZ767,"2130_4_",'Stavební rozpočet'!AX13:AX767)</f>
        <v>53600.088000000003</v>
      </c>
      <c r="L66" s="38">
        <f>SUMIF('Stavební rozpočet'!AZ13:AZ767,"2130_4_",'Stavební rozpočet'!AV13:AV767)</f>
        <v>53600.088000000003</v>
      </c>
      <c r="M66" s="33" t="s">
        <v>129</v>
      </c>
      <c r="N66" s="35">
        <f t="shared" si="2"/>
        <v>53600.088000000003</v>
      </c>
      <c r="O66" s="17" t="s">
        <v>71</v>
      </c>
      <c r="P66" s="35">
        <f t="shared" si="3"/>
        <v>0</v>
      </c>
    </row>
    <row r="67" spans="1:16">
      <c r="A67" s="25" t="s">
        <v>71</v>
      </c>
      <c r="B67" s="17" t="s">
        <v>112</v>
      </c>
      <c r="C67" s="115" t="s">
        <v>127</v>
      </c>
      <c r="D67" s="105"/>
      <c r="E67" s="105"/>
      <c r="F67" s="105"/>
      <c r="G67" s="105"/>
      <c r="H67" s="105"/>
      <c r="I67" s="105"/>
      <c r="J67" s="35">
        <f>SUMIF('Stavební rozpočet'!AZ13:AZ767,"2130_5_",'Stavební rozpočet'!AW13:AW767)</f>
        <v>67596.218550000005</v>
      </c>
      <c r="K67" s="35">
        <f>SUMIF('Stavební rozpočet'!AZ13:AZ767,"2130_5_",'Stavební rozpočet'!AX13:AX767)</f>
        <v>69566.968999999997</v>
      </c>
      <c r="L67" s="38">
        <f>SUMIF('Stavební rozpočet'!AZ13:AZ767,"2130_5_",'Stavební rozpočet'!AV13:AV767)</f>
        <v>137163.18755000003</v>
      </c>
      <c r="M67" s="33" t="s">
        <v>129</v>
      </c>
      <c r="N67" s="35">
        <f t="shared" si="2"/>
        <v>137163.18755000003</v>
      </c>
      <c r="O67" s="17" t="s">
        <v>71</v>
      </c>
      <c r="P67" s="35">
        <f t="shared" si="3"/>
        <v>0</v>
      </c>
    </row>
    <row r="68" spans="1:16">
      <c r="A68" s="25" t="s">
        <v>71</v>
      </c>
      <c r="B68" s="17" t="s">
        <v>100</v>
      </c>
      <c r="C68" s="115" t="s">
        <v>115</v>
      </c>
      <c r="D68" s="105"/>
      <c r="E68" s="105"/>
      <c r="F68" s="105"/>
      <c r="G68" s="105"/>
      <c r="H68" s="105"/>
      <c r="I68" s="105"/>
      <c r="J68" s="35">
        <f>SUMIF('Stavební rozpočet'!AZ13:AZ767,"2130_6_",'Stavební rozpočet'!AW13:AW767)</f>
        <v>60947.040000000001</v>
      </c>
      <c r="K68" s="35">
        <f>SUMIF('Stavební rozpočet'!AZ13:AZ767,"2130_6_",'Stavební rozpočet'!AX13:AX767)</f>
        <v>117225.91</v>
      </c>
      <c r="L68" s="38">
        <f>SUMIF('Stavební rozpočet'!AZ13:AZ767,"2130_6_",'Stavební rozpočet'!AV13:AV767)</f>
        <v>178172.95</v>
      </c>
      <c r="M68" s="33" t="s">
        <v>129</v>
      </c>
      <c r="N68" s="35">
        <f t="shared" si="2"/>
        <v>178172.95</v>
      </c>
      <c r="O68" s="17" t="s">
        <v>71</v>
      </c>
      <c r="P68" s="35">
        <f t="shared" si="3"/>
        <v>0</v>
      </c>
    </row>
    <row r="69" spans="1:16">
      <c r="A69" s="25" t="s">
        <v>71</v>
      </c>
      <c r="B69" s="17" t="s">
        <v>105</v>
      </c>
      <c r="C69" s="115" t="s">
        <v>120</v>
      </c>
      <c r="D69" s="105"/>
      <c r="E69" s="105"/>
      <c r="F69" s="105"/>
      <c r="G69" s="105"/>
      <c r="H69" s="105"/>
      <c r="I69" s="105"/>
      <c r="J69" s="35">
        <f>SUMIF('Stavební rozpočet'!AZ13:AZ767,"2130_71_",'Stavební rozpočet'!AW13:AW767)</f>
        <v>117158.655625</v>
      </c>
      <c r="K69" s="35">
        <f>SUMIF('Stavební rozpočet'!AZ13:AZ767,"2130_71_",'Stavební rozpočet'!AX13:AX767)</f>
        <v>180788.75174000001</v>
      </c>
      <c r="L69" s="38">
        <f>SUMIF('Stavební rozpočet'!AZ13:AZ767,"2130_71_",'Stavební rozpočet'!AV13:AV767)</f>
        <v>297947.40736499999</v>
      </c>
      <c r="M69" s="33" t="s">
        <v>129</v>
      </c>
      <c r="N69" s="35">
        <f t="shared" si="2"/>
        <v>297947.40736499999</v>
      </c>
      <c r="O69" s="17" t="s">
        <v>71</v>
      </c>
      <c r="P69" s="35">
        <f t="shared" si="3"/>
        <v>0</v>
      </c>
    </row>
    <row r="70" spans="1:16">
      <c r="A70" s="25" t="s">
        <v>71</v>
      </c>
      <c r="B70" s="17" t="s">
        <v>106</v>
      </c>
      <c r="C70" s="115" t="s">
        <v>121</v>
      </c>
      <c r="D70" s="105"/>
      <c r="E70" s="105"/>
      <c r="F70" s="105"/>
      <c r="G70" s="105"/>
      <c r="H70" s="105"/>
      <c r="I70" s="105"/>
      <c r="J70" s="35">
        <f>SUMIF('Stavební rozpočet'!AZ13:AZ767,"2130_72_",'Stavební rozpočet'!AW13:AW767)</f>
        <v>0</v>
      </c>
      <c r="K70" s="35">
        <f>SUMIF('Stavební rozpočet'!AZ13:AZ767,"2130_72_",'Stavební rozpočet'!AX13:AX767)</f>
        <v>39676.340799999998</v>
      </c>
      <c r="L70" s="38">
        <f>SUMIF('Stavební rozpočet'!AZ13:AZ767,"2130_72_",'Stavební rozpočet'!AV13:AV767)</f>
        <v>39676.340799999998</v>
      </c>
      <c r="M70" s="33" t="s">
        <v>129</v>
      </c>
      <c r="N70" s="35">
        <f t="shared" si="2"/>
        <v>39676.340799999998</v>
      </c>
      <c r="O70" s="17" t="s">
        <v>71</v>
      </c>
      <c r="P70" s="35">
        <f t="shared" si="3"/>
        <v>0</v>
      </c>
    </row>
    <row r="71" spans="1:16">
      <c r="A71" s="25" t="s">
        <v>71</v>
      </c>
      <c r="B71" s="17" t="s">
        <v>113</v>
      </c>
      <c r="C71" s="115" t="s">
        <v>128</v>
      </c>
      <c r="D71" s="105"/>
      <c r="E71" s="105"/>
      <c r="F71" s="105"/>
      <c r="G71" s="105"/>
      <c r="H71" s="105"/>
      <c r="I71" s="105"/>
      <c r="J71" s="35">
        <f>SUMIF('Stavební rozpočet'!AZ13:AZ767,"2130_8_",'Stavební rozpočet'!AW13:AW767)</f>
        <v>78022.8</v>
      </c>
      <c r="K71" s="35">
        <f>SUMIF('Stavební rozpočet'!AZ13:AZ767,"2130_8_",'Stavební rozpočet'!AX13:AX767)</f>
        <v>18104.599999999999</v>
      </c>
      <c r="L71" s="38">
        <f>SUMIF('Stavební rozpočet'!AZ13:AZ767,"2130_8_",'Stavební rozpočet'!AV13:AV767)</f>
        <v>96127.4</v>
      </c>
      <c r="M71" s="33" t="s">
        <v>129</v>
      </c>
      <c r="N71" s="35">
        <f t="shared" si="2"/>
        <v>96127.4</v>
      </c>
      <c r="O71" s="17" t="s">
        <v>71</v>
      </c>
      <c r="P71" s="35">
        <f t="shared" si="3"/>
        <v>0</v>
      </c>
    </row>
    <row r="72" spans="1:16">
      <c r="A72" s="25" t="s">
        <v>71</v>
      </c>
      <c r="B72" s="17" t="s">
        <v>104</v>
      </c>
      <c r="C72" s="115" t="s">
        <v>119</v>
      </c>
      <c r="D72" s="105"/>
      <c r="E72" s="105"/>
      <c r="F72" s="105"/>
      <c r="G72" s="105"/>
      <c r="H72" s="105"/>
      <c r="I72" s="105"/>
      <c r="J72" s="35">
        <f>SUMIF('Stavební rozpočet'!AZ13:AZ767,"2130_9_",'Stavební rozpočet'!AW13:AW767)</f>
        <v>0</v>
      </c>
      <c r="K72" s="35">
        <f>SUMIF('Stavební rozpočet'!AZ13:AZ767,"2130_9_",'Stavební rozpočet'!AX13:AX767)</f>
        <v>156804.52520000003</v>
      </c>
      <c r="L72" s="38">
        <f>SUMIF('Stavební rozpočet'!AZ13:AZ767,"2130_9_",'Stavební rozpočet'!AV13:AV767)</f>
        <v>156804.52520000003</v>
      </c>
      <c r="M72" s="33" t="s">
        <v>129</v>
      </c>
      <c r="N72" s="35">
        <f t="shared" si="2"/>
        <v>156804.52520000003</v>
      </c>
      <c r="O72" s="17" t="s">
        <v>71</v>
      </c>
      <c r="P72" s="35">
        <f t="shared" si="3"/>
        <v>0</v>
      </c>
    </row>
    <row r="73" spans="1:16">
      <c r="A73" s="25" t="s">
        <v>72</v>
      </c>
      <c r="B73" s="17"/>
      <c r="C73" s="115" t="s">
        <v>88</v>
      </c>
      <c r="D73" s="105"/>
      <c r="E73" s="105"/>
      <c r="F73" s="105"/>
      <c r="G73" s="105"/>
      <c r="H73" s="105"/>
      <c r="I73" s="105"/>
      <c r="J73" s="35">
        <f>'Stavební rozpočet'!J730</f>
        <v>63002</v>
      </c>
      <c r="K73" s="35">
        <f>'Stavební rozpočet'!K730</f>
        <v>38267.199999999997</v>
      </c>
      <c r="L73" s="38">
        <f>'Stavební rozpočet'!L730</f>
        <v>101269.2</v>
      </c>
      <c r="M73" s="33" t="s">
        <v>96</v>
      </c>
      <c r="N73" s="35">
        <f t="shared" si="2"/>
        <v>0</v>
      </c>
      <c r="O73" s="17" t="s">
        <v>72</v>
      </c>
      <c r="P73" s="35">
        <f t="shared" si="3"/>
        <v>101269.2</v>
      </c>
    </row>
    <row r="74" spans="1:16">
      <c r="A74" s="25" t="s">
        <v>72</v>
      </c>
      <c r="B74" s="17" t="s">
        <v>104</v>
      </c>
      <c r="C74" s="115" t="s">
        <v>119</v>
      </c>
      <c r="D74" s="105"/>
      <c r="E74" s="105"/>
      <c r="F74" s="105"/>
      <c r="G74" s="105"/>
      <c r="H74" s="105"/>
      <c r="I74" s="105"/>
      <c r="J74" s="35">
        <f>SUMIF('Stavební rozpočet'!AZ13:AZ767,"2445_9_",'Stavební rozpočet'!AW13:AW767)</f>
        <v>63002</v>
      </c>
      <c r="K74" s="35">
        <f>SUMIF('Stavební rozpočet'!AZ13:AZ767,"2445_9_",'Stavební rozpočet'!AX13:AX767)</f>
        <v>38267.199999999997</v>
      </c>
      <c r="L74" s="38">
        <f>SUMIF('Stavební rozpočet'!AZ13:AZ767,"2445_9_",'Stavební rozpočet'!AV13:AV767)</f>
        <v>101269.2</v>
      </c>
      <c r="M74" s="33" t="s">
        <v>129</v>
      </c>
      <c r="N74" s="35">
        <f t="shared" si="2"/>
        <v>101269.2</v>
      </c>
      <c r="O74" s="17" t="s">
        <v>72</v>
      </c>
      <c r="P74" s="35">
        <f t="shared" si="3"/>
        <v>0</v>
      </c>
    </row>
    <row r="75" spans="1:16">
      <c r="A75" s="25" t="s">
        <v>73</v>
      </c>
      <c r="B75" s="17"/>
      <c r="C75" s="115" t="s">
        <v>89</v>
      </c>
      <c r="D75" s="105"/>
      <c r="E75" s="105"/>
      <c r="F75" s="105"/>
      <c r="G75" s="105"/>
      <c r="H75" s="105"/>
      <c r="I75" s="105"/>
      <c r="J75" s="35">
        <f>'Stavební rozpočet'!J757</f>
        <v>0</v>
      </c>
      <c r="K75" s="35">
        <f>'Stavební rozpočet'!K757</f>
        <v>146880</v>
      </c>
      <c r="L75" s="38">
        <f>'Stavební rozpočet'!L757</f>
        <v>146880</v>
      </c>
      <c r="M75" s="33" t="s">
        <v>96</v>
      </c>
      <c r="N75" s="35">
        <f t="shared" si="2"/>
        <v>0</v>
      </c>
      <c r="O75" s="17" t="s">
        <v>73</v>
      </c>
      <c r="P75" s="35">
        <f t="shared" si="3"/>
        <v>146880</v>
      </c>
    </row>
    <row r="76" spans="1:16">
      <c r="A76" s="26" t="s">
        <v>73</v>
      </c>
      <c r="B76" s="29" t="s">
        <v>104</v>
      </c>
      <c r="C76" s="154" t="s">
        <v>119</v>
      </c>
      <c r="D76" s="117"/>
      <c r="E76" s="117"/>
      <c r="F76" s="117"/>
      <c r="G76" s="117"/>
      <c r="H76" s="117"/>
      <c r="I76" s="117"/>
      <c r="J76" s="36">
        <f>SUMIF('Stavební rozpočet'!AZ13:AZ767,"VON_9_",'Stavební rozpočet'!AW13:AW767)</f>
        <v>0</v>
      </c>
      <c r="K76" s="36">
        <f>SUMIF('Stavební rozpočet'!AZ13:AZ767,"VON_9_",'Stavební rozpočet'!AX13:AX767)</f>
        <v>146880</v>
      </c>
      <c r="L76" s="39">
        <f>SUMIF('Stavební rozpočet'!AZ13:AZ767,"VON_9_",'Stavební rozpočet'!AV13:AV767)</f>
        <v>146880</v>
      </c>
      <c r="M76" s="33" t="s">
        <v>129</v>
      </c>
      <c r="N76" s="35">
        <f t="shared" ref="N76:N107" si="4">IF(M76="F",0,L76)</f>
        <v>146880</v>
      </c>
      <c r="O76" s="17" t="s">
        <v>73</v>
      </c>
      <c r="P76" s="35">
        <f t="shared" si="3"/>
        <v>0</v>
      </c>
    </row>
    <row r="77" spans="1:16">
      <c r="A77" s="5"/>
      <c r="B77" s="5"/>
      <c r="C77" s="5"/>
      <c r="D77" s="5"/>
      <c r="E77" s="5"/>
      <c r="F77" s="5"/>
      <c r="G77" s="5"/>
      <c r="H77" s="5"/>
      <c r="I77" s="5"/>
      <c r="J77" s="155" t="s">
        <v>94</v>
      </c>
      <c r="K77" s="107"/>
      <c r="L77" s="40">
        <f>SUM(N12:N76)</f>
        <v>8052118.469235003</v>
      </c>
    </row>
    <row r="78" spans="1:16" ht="11.25" customHeight="1">
      <c r="A78" s="27" t="s">
        <v>18</v>
      </c>
    </row>
    <row r="79" spans="1:16">
      <c r="A79" s="113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</row>
  </sheetData>
  <mergeCells count="95">
    <mergeCell ref="C75:I75"/>
    <mergeCell ref="C76:I76"/>
    <mergeCell ref="J77:K77"/>
    <mergeCell ref="A79:L79"/>
    <mergeCell ref="C69:I69"/>
    <mergeCell ref="C70:I70"/>
    <mergeCell ref="C71:I71"/>
    <mergeCell ref="C72:I72"/>
    <mergeCell ref="C73:I73"/>
    <mergeCell ref="C74:I74"/>
    <mergeCell ref="C63:I63"/>
    <mergeCell ref="C64:I64"/>
    <mergeCell ref="C65:I65"/>
    <mergeCell ref="C66:I66"/>
    <mergeCell ref="C67:I67"/>
    <mergeCell ref="C68:I68"/>
    <mergeCell ref="C57:I57"/>
    <mergeCell ref="C58:I58"/>
    <mergeCell ref="C59:I59"/>
    <mergeCell ref="C60:I60"/>
    <mergeCell ref="C61:I61"/>
    <mergeCell ref="C62:I62"/>
    <mergeCell ref="C51:I51"/>
    <mergeCell ref="C52:I52"/>
    <mergeCell ref="C53:I53"/>
    <mergeCell ref="C54:I54"/>
    <mergeCell ref="C55:I55"/>
    <mergeCell ref="C56:I56"/>
    <mergeCell ref="C45:I45"/>
    <mergeCell ref="C46:I46"/>
    <mergeCell ref="C47:I47"/>
    <mergeCell ref="C48:I48"/>
    <mergeCell ref="C49:I49"/>
    <mergeCell ref="C50:I50"/>
    <mergeCell ref="C39:I39"/>
    <mergeCell ref="C40:I40"/>
    <mergeCell ref="C41:I41"/>
    <mergeCell ref="C42:I42"/>
    <mergeCell ref="C43:I43"/>
    <mergeCell ref="C44:I44"/>
    <mergeCell ref="C33:I33"/>
    <mergeCell ref="C34:I34"/>
    <mergeCell ref="C35:I35"/>
    <mergeCell ref="C36:I36"/>
    <mergeCell ref="C37:I37"/>
    <mergeCell ref="C38:I38"/>
    <mergeCell ref="C27:I27"/>
    <mergeCell ref="C28:I28"/>
    <mergeCell ref="C29:I29"/>
    <mergeCell ref="C30:I30"/>
    <mergeCell ref="C31:I31"/>
    <mergeCell ref="C32:I32"/>
    <mergeCell ref="C21:I21"/>
    <mergeCell ref="C22:I22"/>
    <mergeCell ref="C23:I23"/>
    <mergeCell ref="C24:I24"/>
    <mergeCell ref="C25:I25"/>
    <mergeCell ref="C26:I26"/>
    <mergeCell ref="C15:I15"/>
    <mergeCell ref="C16:I16"/>
    <mergeCell ref="C17:I17"/>
    <mergeCell ref="C18:I18"/>
    <mergeCell ref="C19:I19"/>
    <mergeCell ref="C20:I20"/>
    <mergeCell ref="C10:I10"/>
    <mergeCell ref="J10:L10"/>
    <mergeCell ref="C11:I11"/>
    <mergeCell ref="C12:I12"/>
    <mergeCell ref="C13:I13"/>
    <mergeCell ref="C14:I14"/>
    <mergeCell ref="A8:C9"/>
    <mergeCell ref="D8:F9"/>
    <mergeCell ref="G8:G9"/>
    <mergeCell ref="H8:H9"/>
    <mergeCell ref="I8:I9"/>
    <mergeCell ref="J8:L9"/>
    <mergeCell ref="A6:C7"/>
    <mergeCell ref="D6:F7"/>
    <mergeCell ref="G6:G7"/>
    <mergeCell ref="H6:H7"/>
    <mergeCell ref="I6:I7"/>
    <mergeCell ref="J6:L7"/>
    <mergeCell ref="A4:C5"/>
    <mergeCell ref="D4:F5"/>
    <mergeCell ref="G4:G5"/>
    <mergeCell ref="H4:H5"/>
    <mergeCell ref="I4:I5"/>
    <mergeCell ref="J4:L5"/>
    <mergeCell ref="A1:L1"/>
    <mergeCell ref="A2:C3"/>
    <mergeCell ref="D2:F3"/>
    <mergeCell ref="G2:G3"/>
    <mergeCell ref="H2:H3"/>
    <mergeCell ref="I2:I3"/>
    <mergeCell ref="J2:L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5"/>
  <sheetViews>
    <sheetView workbookViewId="0">
      <pane ySplit="11" topLeftCell="A12" activePane="bottomLeft" state="frozenSplit"/>
      <selection pane="bottomLeft" sqref="A1:L1"/>
    </sheetView>
  </sheetViews>
  <sheetFormatPr defaultColWidth="11.5703125" defaultRowHeight="12.75"/>
  <cols>
    <col min="1" max="1" width="7.5703125" customWidth="1"/>
    <col min="2" max="2" width="5.7109375" customWidth="1"/>
    <col min="3" max="9" width="15.7109375" customWidth="1"/>
    <col min="10" max="12" width="14.28515625" customWidth="1"/>
    <col min="13" max="16" width="12.140625" hidden="1" customWidth="1"/>
  </cols>
  <sheetData>
    <row r="1" spans="1:16" ht="72.95" customHeight="1">
      <c r="A1" s="139" t="s">
        <v>130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6">
      <c r="A2" s="102" t="s">
        <v>0</v>
      </c>
      <c r="B2" s="103"/>
      <c r="C2" s="103"/>
      <c r="D2" s="106" t="str">
        <f>'Stavební rozpočet'!D2</f>
        <v>Snížení energetické náročnosti MŠ Hrabinská Český Těšín</v>
      </c>
      <c r="E2" s="107"/>
      <c r="F2" s="107"/>
      <c r="G2" s="109" t="s">
        <v>90</v>
      </c>
      <c r="H2" s="109" t="str">
        <f>'Stavební rozpočet'!G2</f>
        <v xml:space="preserve"> </v>
      </c>
      <c r="I2" s="109" t="s">
        <v>29</v>
      </c>
      <c r="J2" s="109" t="str">
        <f>'Stavební rozpočet'!J2</f>
        <v>Město Český Těšín</v>
      </c>
      <c r="K2" s="103"/>
      <c r="L2" s="140"/>
      <c r="M2" s="19"/>
    </row>
    <row r="3" spans="1:16" ht="51.4" customHeight="1">
      <c r="A3" s="104"/>
      <c r="B3" s="105"/>
      <c r="C3" s="105"/>
      <c r="D3" s="108"/>
      <c r="E3" s="108"/>
      <c r="F3" s="108"/>
      <c r="G3" s="105"/>
      <c r="H3" s="105"/>
      <c r="I3" s="105"/>
      <c r="J3" s="105"/>
      <c r="K3" s="105"/>
      <c r="L3" s="111"/>
      <c r="M3" s="19"/>
    </row>
    <row r="4" spans="1:16">
      <c r="A4" s="112" t="s">
        <v>1</v>
      </c>
      <c r="B4" s="105"/>
      <c r="C4" s="105"/>
      <c r="D4" s="113" t="str">
        <f>'Stavební rozpočet'!D4</f>
        <v>Energetické úspory</v>
      </c>
      <c r="E4" s="105"/>
      <c r="F4" s="105"/>
      <c r="G4" s="113" t="s">
        <v>3</v>
      </c>
      <c r="H4" s="113" t="str">
        <f>'Stavební rozpočet'!G4</f>
        <v xml:space="preserve"> </v>
      </c>
      <c r="I4" s="113" t="s">
        <v>30</v>
      </c>
      <c r="J4" s="113" t="str">
        <f>'Stavební rozpočet'!J4</f>
        <v>C.E.I.S. CZ s.r.o.</v>
      </c>
      <c r="K4" s="105"/>
      <c r="L4" s="111"/>
      <c r="M4" s="19"/>
    </row>
    <row r="5" spans="1:16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11"/>
      <c r="M5" s="19"/>
    </row>
    <row r="6" spans="1:16">
      <c r="A6" s="112" t="s">
        <v>2</v>
      </c>
      <c r="B6" s="105"/>
      <c r="C6" s="105"/>
      <c r="D6" s="113" t="str">
        <f>'Stavební rozpočet'!D6</f>
        <v>Hrabinská 1016/51, Český Těšín</v>
      </c>
      <c r="E6" s="105"/>
      <c r="F6" s="105"/>
      <c r="G6" s="113" t="s">
        <v>32</v>
      </c>
      <c r="H6" s="113" t="str">
        <f>'Stavební rozpočet'!G6</f>
        <v xml:space="preserve"> </v>
      </c>
      <c r="I6" s="113" t="s">
        <v>31</v>
      </c>
      <c r="J6" s="113" t="str">
        <f>'Stavební rozpočet'!J6</f>
        <v> </v>
      </c>
      <c r="K6" s="105"/>
      <c r="L6" s="111"/>
      <c r="M6" s="19"/>
    </row>
    <row r="7" spans="1:16" ht="25.7" customHeight="1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11"/>
      <c r="M7" s="19"/>
    </row>
    <row r="8" spans="1:16">
      <c r="A8" s="112" t="s">
        <v>4</v>
      </c>
      <c r="B8" s="105"/>
      <c r="C8" s="105"/>
      <c r="D8" s="113" t="str">
        <f>'Stavební rozpočet'!D8</f>
        <v xml:space="preserve"> </v>
      </c>
      <c r="E8" s="105"/>
      <c r="F8" s="105"/>
      <c r="G8" s="113" t="s">
        <v>91</v>
      </c>
      <c r="H8" s="113" t="str">
        <f>'Stavební rozpočet'!G8</f>
        <v>20.12.2019</v>
      </c>
      <c r="I8" s="113" t="s">
        <v>33</v>
      </c>
      <c r="J8" s="113" t="str">
        <f>'Stavební rozpočet'!J8</f>
        <v> </v>
      </c>
      <c r="K8" s="105"/>
      <c r="L8" s="111"/>
      <c r="M8" s="19"/>
    </row>
    <row r="9" spans="1:16">
      <c r="A9" s="141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3"/>
      <c r="M9" s="19"/>
    </row>
    <row r="10" spans="1:16">
      <c r="A10" s="22" t="s">
        <v>57</v>
      </c>
      <c r="B10" s="41" t="s">
        <v>57</v>
      </c>
      <c r="C10" s="144" t="s">
        <v>57</v>
      </c>
      <c r="D10" s="145"/>
      <c r="E10" s="145"/>
      <c r="F10" s="145"/>
      <c r="G10" s="145"/>
      <c r="H10" s="145"/>
      <c r="I10" s="146"/>
      <c r="J10" s="147" t="s">
        <v>92</v>
      </c>
      <c r="K10" s="148"/>
      <c r="L10" s="149"/>
      <c r="M10" s="20"/>
    </row>
    <row r="11" spans="1:16">
      <c r="A11" s="23" t="s">
        <v>58</v>
      </c>
      <c r="B11" s="42" t="s">
        <v>98</v>
      </c>
      <c r="C11" s="150" t="s">
        <v>74</v>
      </c>
      <c r="D11" s="151"/>
      <c r="E11" s="151"/>
      <c r="F11" s="151"/>
      <c r="G11" s="151"/>
      <c r="H11" s="151"/>
      <c r="I11" s="152"/>
      <c r="J11" s="30" t="s">
        <v>93</v>
      </c>
      <c r="K11" s="31" t="s">
        <v>21</v>
      </c>
      <c r="L11" s="32" t="s">
        <v>95</v>
      </c>
      <c r="M11" s="20"/>
    </row>
    <row r="12" spans="1:16">
      <c r="A12" s="24" t="s">
        <v>59</v>
      </c>
      <c r="B12" s="28"/>
      <c r="C12" s="153" t="s">
        <v>75</v>
      </c>
      <c r="D12" s="145"/>
      <c r="E12" s="145"/>
      <c r="F12" s="145"/>
      <c r="G12" s="145"/>
      <c r="H12" s="145"/>
      <c r="I12" s="145"/>
      <c r="J12" s="34">
        <f>'Stavební rozpočet'!J12</f>
        <v>119424.8</v>
      </c>
      <c r="K12" s="34">
        <f>'Stavební rozpočet'!K12</f>
        <v>2151791.9663899997</v>
      </c>
      <c r="L12" s="37">
        <f>'Stavební rozpočet'!L12</f>
        <v>2271216.76639</v>
      </c>
      <c r="M12" s="33" t="s">
        <v>96</v>
      </c>
      <c r="N12" s="35">
        <f t="shared" ref="N12:N43" si="0">IF(M12="F",0,L12)</f>
        <v>0</v>
      </c>
      <c r="O12" s="17" t="s">
        <v>59</v>
      </c>
      <c r="P12" s="35">
        <f t="shared" ref="P12:P43" si="1">IF(M12="T",0,L12)</f>
        <v>2271216.76639</v>
      </c>
    </row>
    <row r="13" spans="1:16">
      <c r="A13" s="25" t="s">
        <v>59</v>
      </c>
      <c r="B13" s="17" t="s">
        <v>131</v>
      </c>
      <c r="C13" s="115" t="s">
        <v>182</v>
      </c>
      <c r="D13" s="105"/>
      <c r="E13" s="105"/>
      <c r="F13" s="105"/>
      <c r="G13" s="105"/>
      <c r="H13" s="105"/>
      <c r="I13" s="105"/>
      <c r="J13" s="35">
        <f>'Stavební rozpočet'!J13</f>
        <v>0</v>
      </c>
      <c r="K13" s="35">
        <f>'Stavební rozpočet'!K13</f>
        <v>538</v>
      </c>
      <c r="L13" s="38">
        <f>'Stavební rozpočet'!L13</f>
        <v>538</v>
      </c>
      <c r="M13" s="33" t="s">
        <v>129</v>
      </c>
      <c r="N13" s="35">
        <f t="shared" si="0"/>
        <v>538</v>
      </c>
      <c r="O13" s="17" t="s">
        <v>59</v>
      </c>
      <c r="P13" s="35">
        <f t="shared" si="1"/>
        <v>0</v>
      </c>
    </row>
    <row r="14" spans="1:16">
      <c r="A14" s="25" t="s">
        <v>59</v>
      </c>
      <c r="B14" s="17" t="s">
        <v>132</v>
      </c>
      <c r="C14" s="115" t="s">
        <v>183</v>
      </c>
      <c r="D14" s="105"/>
      <c r="E14" s="105"/>
      <c r="F14" s="105"/>
      <c r="G14" s="105"/>
      <c r="H14" s="105"/>
      <c r="I14" s="105"/>
      <c r="J14" s="35">
        <f>'Stavební rozpočet'!J18</f>
        <v>0</v>
      </c>
      <c r="K14" s="35">
        <f>'Stavební rozpočet'!K18</f>
        <v>48.769600000000004</v>
      </c>
      <c r="L14" s="38">
        <f>'Stavební rozpočet'!L18</f>
        <v>48.769600000000004</v>
      </c>
      <c r="M14" s="33" t="s">
        <v>129</v>
      </c>
      <c r="N14" s="35">
        <f t="shared" si="0"/>
        <v>48.769600000000004</v>
      </c>
      <c r="O14" s="17" t="s">
        <v>59</v>
      </c>
      <c r="P14" s="35">
        <f t="shared" si="1"/>
        <v>0</v>
      </c>
    </row>
    <row r="15" spans="1:16">
      <c r="A15" s="25" t="s">
        <v>59</v>
      </c>
      <c r="B15" s="17" t="s">
        <v>133</v>
      </c>
      <c r="C15" s="115" t="s">
        <v>184</v>
      </c>
      <c r="D15" s="105"/>
      <c r="E15" s="105"/>
      <c r="F15" s="105"/>
      <c r="G15" s="105"/>
      <c r="H15" s="105"/>
      <c r="I15" s="105"/>
      <c r="J15" s="35">
        <f>'Stavební rozpočet'!J21</f>
        <v>0</v>
      </c>
      <c r="K15" s="35">
        <f>'Stavební rozpočet'!K21</f>
        <v>93.948800000000006</v>
      </c>
      <c r="L15" s="38">
        <f>'Stavební rozpočet'!L21</f>
        <v>93.948800000000006</v>
      </c>
      <c r="M15" s="33" t="s">
        <v>129</v>
      </c>
      <c r="N15" s="35">
        <f t="shared" si="0"/>
        <v>93.948800000000006</v>
      </c>
      <c r="O15" s="17" t="s">
        <v>59</v>
      </c>
      <c r="P15" s="35">
        <f t="shared" si="1"/>
        <v>0</v>
      </c>
    </row>
    <row r="16" spans="1:16">
      <c r="A16" s="25" t="s">
        <v>59</v>
      </c>
      <c r="B16" s="17" t="s">
        <v>134</v>
      </c>
      <c r="C16" s="115" t="s">
        <v>185</v>
      </c>
      <c r="D16" s="105"/>
      <c r="E16" s="105"/>
      <c r="F16" s="105"/>
      <c r="G16" s="105"/>
      <c r="H16" s="105"/>
      <c r="I16" s="105"/>
      <c r="J16" s="35">
        <f>'Stavební rozpočet'!J23</f>
        <v>41130.54</v>
      </c>
      <c r="K16" s="35">
        <f>'Stavební rozpočet'!K23</f>
        <v>1707526.5695000004</v>
      </c>
      <c r="L16" s="38">
        <f>'Stavební rozpočet'!L23</f>
        <v>1748657.1095000005</v>
      </c>
      <c r="M16" s="33" t="s">
        <v>129</v>
      </c>
      <c r="N16" s="35">
        <f t="shared" si="0"/>
        <v>1748657.1095000005</v>
      </c>
      <c r="O16" s="17" t="s">
        <v>59</v>
      </c>
      <c r="P16" s="35">
        <f t="shared" si="1"/>
        <v>0</v>
      </c>
    </row>
    <row r="17" spans="1:16">
      <c r="A17" s="25" t="s">
        <v>59</v>
      </c>
      <c r="B17" s="17" t="s">
        <v>135</v>
      </c>
      <c r="C17" s="115" t="s">
        <v>186</v>
      </c>
      <c r="D17" s="105"/>
      <c r="E17" s="105"/>
      <c r="F17" s="105"/>
      <c r="G17" s="105"/>
      <c r="H17" s="105"/>
      <c r="I17" s="105"/>
      <c r="J17" s="35">
        <f>'Stavební rozpočet'!J50</f>
        <v>0</v>
      </c>
      <c r="K17" s="35">
        <f>'Stavební rozpočet'!K50</f>
        <v>118379.48976999999</v>
      </c>
      <c r="L17" s="38">
        <f>'Stavební rozpočet'!L50</f>
        <v>118379.48976999999</v>
      </c>
      <c r="M17" s="33" t="s">
        <v>129</v>
      </c>
      <c r="N17" s="35">
        <f t="shared" si="0"/>
        <v>118379.48976999999</v>
      </c>
      <c r="O17" s="17" t="s">
        <v>59</v>
      </c>
      <c r="P17" s="35">
        <f t="shared" si="1"/>
        <v>0</v>
      </c>
    </row>
    <row r="18" spans="1:16">
      <c r="A18" s="25" t="s">
        <v>59</v>
      </c>
      <c r="B18" s="17" t="s">
        <v>136</v>
      </c>
      <c r="C18" s="115" t="s">
        <v>187</v>
      </c>
      <c r="D18" s="105"/>
      <c r="E18" s="105"/>
      <c r="F18" s="105"/>
      <c r="G18" s="105"/>
      <c r="H18" s="105"/>
      <c r="I18" s="105"/>
      <c r="J18" s="35">
        <f>'Stavební rozpočet'!J61</f>
        <v>25548</v>
      </c>
      <c r="K18" s="35">
        <f>'Stavební rozpočet'!K61</f>
        <v>22304.428019999999</v>
      </c>
      <c r="L18" s="38">
        <f>'Stavební rozpočet'!L61</f>
        <v>47852.428019999992</v>
      </c>
      <c r="M18" s="33" t="s">
        <v>129</v>
      </c>
      <c r="N18" s="35">
        <f t="shared" si="0"/>
        <v>47852.428019999992</v>
      </c>
      <c r="O18" s="17" t="s">
        <v>59</v>
      </c>
      <c r="P18" s="35">
        <f t="shared" si="1"/>
        <v>0</v>
      </c>
    </row>
    <row r="19" spans="1:16">
      <c r="A19" s="25" t="s">
        <v>59</v>
      </c>
      <c r="B19" s="17" t="s">
        <v>137</v>
      </c>
      <c r="C19" s="115" t="s">
        <v>188</v>
      </c>
      <c r="D19" s="105"/>
      <c r="E19" s="105"/>
      <c r="F19" s="105"/>
      <c r="G19" s="105"/>
      <c r="H19" s="105"/>
      <c r="I19" s="105"/>
      <c r="J19" s="35">
        <f>'Stavební rozpočet'!J79</f>
        <v>1424.26</v>
      </c>
      <c r="K19" s="35">
        <f>'Stavební rozpočet'!K79</f>
        <v>4313.42544</v>
      </c>
      <c r="L19" s="38">
        <f>'Stavební rozpočet'!L79</f>
        <v>5737.6854400000002</v>
      </c>
      <c r="M19" s="33" t="s">
        <v>129</v>
      </c>
      <c r="N19" s="35">
        <f t="shared" si="0"/>
        <v>5737.6854400000002</v>
      </c>
      <c r="O19" s="17" t="s">
        <v>59</v>
      </c>
      <c r="P19" s="35">
        <f t="shared" si="1"/>
        <v>0</v>
      </c>
    </row>
    <row r="20" spans="1:16">
      <c r="A20" s="25" t="s">
        <v>59</v>
      </c>
      <c r="B20" s="17" t="s">
        <v>138</v>
      </c>
      <c r="C20" s="115" t="s">
        <v>189</v>
      </c>
      <c r="D20" s="105"/>
      <c r="E20" s="105"/>
      <c r="F20" s="105"/>
      <c r="G20" s="105"/>
      <c r="H20" s="105"/>
      <c r="I20" s="105"/>
      <c r="J20" s="35">
        <f>'Stavební rozpočet'!J86</f>
        <v>0</v>
      </c>
      <c r="K20" s="35">
        <f>'Stavební rozpočet'!K86</f>
        <v>1095.92</v>
      </c>
      <c r="L20" s="38">
        <f>'Stavební rozpočet'!L86</f>
        <v>1095.92</v>
      </c>
      <c r="M20" s="33" t="s">
        <v>129</v>
      </c>
      <c r="N20" s="35">
        <f t="shared" si="0"/>
        <v>1095.92</v>
      </c>
      <c r="O20" s="17" t="s">
        <v>59</v>
      </c>
      <c r="P20" s="35">
        <f t="shared" si="1"/>
        <v>0</v>
      </c>
    </row>
    <row r="21" spans="1:16">
      <c r="A21" s="25" t="s">
        <v>59</v>
      </c>
      <c r="B21" s="17" t="s">
        <v>139</v>
      </c>
      <c r="C21" s="115" t="s">
        <v>190</v>
      </c>
      <c r="D21" s="105"/>
      <c r="E21" s="105"/>
      <c r="F21" s="105"/>
      <c r="G21" s="105"/>
      <c r="H21" s="105"/>
      <c r="I21" s="105"/>
      <c r="J21" s="35">
        <f>'Stavební rozpočet'!J88</f>
        <v>42922</v>
      </c>
      <c r="K21" s="35">
        <f>'Stavební rozpočet'!K88</f>
        <v>175276.93</v>
      </c>
      <c r="L21" s="38">
        <f>'Stavební rozpočet'!L88</f>
        <v>218198.93</v>
      </c>
      <c r="M21" s="33" t="s">
        <v>129</v>
      </c>
      <c r="N21" s="35">
        <f t="shared" si="0"/>
        <v>218198.93</v>
      </c>
      <c r="O21" s="17" t="s">
        <v>59</v>
      </c>
      <c r="P21" s="35">
        <f t="shared" si="1"/>
        <v>0</v>
      </c>
    </row>
    <row r="22" spans="1:16">
      <c r="A22" s="25" t="s">
        <v>59</v>
      </c>
      <c r="B22" s="17" t="s">
        <v>140</v>
      </c>
      <c r="C22" s="115" t="s">
        <v>191</v>
      </c>
      <c r="D22" s="105"/>
      <c r="E22" s="105"/>
      <c r="F22" s="105"/>
      <c r="G22" s="105"/>
      <c r="H22" s="105"/>
      <c r="I22" s="105"/>
      <c r="J22" s="35">
        <f>'Stavební rozpočet'!J100</f>
        <v>0</v>
      </c>
      <c r="K22" s="35">
        <f>'Stavební rozpočet'!K100</f>
        <v>99865.109599999996</v>
      </c>
      <c r="L22" s="38">
        <f>'Stavební rozpočet'!L100</f>
        <v>99865.109599999996</v>
      </c>
      <c r="M22" s="33" t="s">
        <v>129</v>
      </c>
      <c r="N22" s="35">
        <f t="shared" si="0"/>
        <v>99865.109599999996</v>
      </c>
      <c r="O22" s="17" t="s">
        <v>59</v>
      </c>
      <c r="P22" s="35">
        <f t="shared" si="1"/>
        <v>0</v>
      </c>
    </row>
    <row r="23" spans="1:16">
      <c r="A23" s="25" t="s">
        <v>59</v>
      </c>
      <c r="B23" s="17" t="s">
        <v>141</v>
      </c>
      <c r="C23" s="115" t="s">
        <v>192</v>
      </c>
      <c r="D23" s="105"/>
      <c r="E23" s="105"/>
      <c r="F23" s="105"/>
      <c r="G23" s="105"/>
      <c r="H23" s="105"/>
      <c r="I23" s="105"/>
      <c r="J23" s="35">
        <f>'Stavební rozpočet'!J109</f>
        <v>0</v>
      </c>
      <c r="K23" s="35">
        <f>'Stavební rozpočet'!K109</f>
        <v>1428</v>
      </c>
      <c r="L23" s="38">
        <f>'Stavební rozpočet'!L109</f>
        <v>1428</v>
      </c>
      <c r="M23" s="33" t="s">
        <v>129</v>
      </c>
      <c r="N23" s="35">
        <f t="shared" si="0"/>
        <v>1428</v>
      </c>
      <c r="O23" s="17" t="s">
        <v>59</v>
      </c>
      <c r="P23" s="35">
        <f t="shared" si="1"/>
        <v>0</v>
      </c>
    </row>
    <row r="24" spans="1:16">
      <c r="A24" s="25" t="s">
        <v>59</v>
      </c>
      <c r="B24" s="17" t="s">
        <v>142</v>
      </c>
      <c r="C24" s="115" t="s">
        <v>193</v>
      </c>
      <c r="D24" s="105"/>
      <c r="E24" s="105"/>
      <c r="F24" s="105"/>
      <c r="G24" s="105"/>
      <c r="H24" s="105"/>
      <c r="I24" s="105"/>
      <c r="J24" s="35">
        <f>'Stavební rozpočet'!J111</f>
        <v>0</v>
      </c>
      <c r="K24" s="35">
        <f>'Stavební rozpočet'!K111</f>
        <v>186.82749999999999</v>
      </c>
      <c r="L24" s="38">
        <f>'Stavební rozpočet'!L111</f>
        <v>186.82749999999999</v>
      </c>
      <c r="M24" s="33" t="s">
        <v>129</v>
      </c>
      <c r="N24" s="35">
        <f t="shared" si="0"/>
        <v>186.82749999999999</v>
      </c>
      <c r="O24" s="17" t="s">
        <v>59</v>
      </c>
      <c r="P24" s="35">
        <f t="shared" si="1"/>
        <v>0</v>
      </c>
    </row>
    <row r="25" spans="1:16">
      <c r="A25" s="25" t="s">
        <v>59</v>
      </c>
      <c r="B25" s="17" t="s">
        <v>143</v>
      </c>
      <c r="C25" s="115" t="s">
        <v>194</v>
      </c>
      <c r="D25" s="105"/>
      <c r="E25" s="105"/>
      <c r="F25" s="105"/>
      <c r="G25" s="105"/>
      <c r="H25" s="105"/>
      <c r="I25" s="105"/>
      <c r="J25" s="35">
        <f>'Stavební rozpočet'!J114</f>
        <v>0</v>
      </c>
      <c r="K25" s="35">
        <f>'Stavební rozpočet'!K114</f>
        <v>6193.3</v>
      </c>
      <c r="L25" s="38">
        <f>'Stavební rozpočet'!L114</f>
        <v>6193.3</v>
      </c>
      <c r="M25" s="33" t="s">
        <v>129</v>
      </c>
      <c r="N25" s="35">
        <f t="shared" si="0"/>
        <v>6193.3</v>
      </c>
      <c r="O25" s="17" t="s">
        <v>59</v>
      </c>
      <c r="P25" s="35">
        <f t="shared" si="1"/>
        <v>0</v>
      </c>
    </row>
    <row r="26" spans="1:16">
      <c r="A26" s="25" t="s">
        <v>59</v>
      </c>
      <c r="B26" s="17" t="s">
        <v>144</v>
      </c>
      <c r="C26" s="115" t="s">
        <v>195</v>
      </c>
      <c r="D26" s="105"/>
      <c r="E26" s="105"/>
      <c r="F26" s="105"/>
      <c r="G26" s="105"/>
      <c r="H26" s="105"/>
      <c r="I26" s="105"/>
      <c r="J26" s="35">
        <f>'Stavební rozpočet'!J117</f>
        <v>8400</v>
      </c>
      <c r="K26" s="35">
        <f>'Stavební rozpočet'!K117</f>
        <v>8640</v>
      </c>
      <c r="L26" s="38">
        <f>'Stavební rozpočet'!L117</f>
        <v>17040</v>
      </c>
      <c r="M26" s="33" t="s">
        <v>129</v>
      </c>
      <c r="N26" s="35">
        <f t="shared" si="0"/>
        <v>17040</v>
      </c>
      <c r="O26" s="17" t="s">
        <v>59</v>
      </c>
      <c r="P26" s="35">
        <f t="shared" si="1"/>
        <v>0</v>
      </c>
    </row>
    <row r="27" spans="1:16">
      <c r="A27" s="25" t="s">
        <v>59</v>
      </c>
      <c r="B27" s="17" t="s">
        <v>145</v>
      </c>
      <c r="C27" s="115" t="s">
        <v>196</v>
      </c>
      <c r="D27" s="105"/>
      <c r="E27" s="105"/>
      <c r="F27" s="105"/>
      <c r="G27" s="105"/>
      <c r="H27" s="105"/>
      <c r="I27" s="105"/>
      <c r="J27" s="35">
        <f>'Stavební rozpočet'!J121</f>
        <v>0</v>
      </c>
      <c r="K27" s="35">
        <f>'Stavební rozpočet'!K121</f>
        <v>5901.2481600000001</v>
      </c>
      <c r="L27" s="38">
        <f>'Stavební rozpočet'!L121</f>
        <v>5901.2481600000001</v>
      </c>
      <c r="M27" s="33" t="s">
        <v>129</v>
      </c>
      <c r="N27" s="35">
        <f t="shared" si="0"/>
        <v>5901.2481600000001</v>
      </c>
      <c r="O27" s="17" t="s">
        <v>59</v>
      </c>
      <c r="P27" s="35">
        <f t="shared" si="1"/>
        <v>0</v>
      </c>
    </row>
    <row r="28" spans="1:16">
      <c r="A28" s="25" t="s">
        <v>60</v>
      </c>
      <c r="B28" s="17"/>
      <c r="C28" s="115" t="s">
        <v>76</v>
      </c>
      <c r="D28" s="105"/>
      <c r="E28" s="105"/>
      <c r="F28" s="105"/>
      <c r="G28" s="105"/>
      <c r="H28" s="105"/>
      <c r="I28" s="105"/>
      <c r="J28" s="35">
        <f>'Stavební rozpočet'!J128</f>
        <v>77223.106249999997</v>
      </c>
      <c r="K28" s="35">
        <f>'Stavební rozpočet'!K128</f>
        <v>692269.67852999992</v>
      </c>
      <c r="L28" s="38">
        <f>'Stavební rozpočet'!L128</f>
        <v>769492.7847800001</v>
      </c>
      <c r="M28" s="33" t="s">
        <v>96</v>
      </c>
      <c r="N28" s="35">
        <f t="shared" si="0"/>
        <v>0</v>
      </c>
      <c r="O28" s="17" t="s">
        <v>60</v>
      </c>
      <c r="P28" s="35">
        <f t="shared" si="1"/>
        <v>769492.7847800001</v>
      </c>
    </row>
    <row r="29" spans="1:16">
      <c r="A29" s="25" t="s">
        <v>60</v>
      </c>
      <c r="B29" s="17" t="s">
        <v>135</v>
      </c>
      <c r="C29" s="115" t="s">
        <v>186</v>
      </c>
      <c r="D29" s="105"/>
      <c r="E29" s="105"/>
      <c r="F29" s="105"/>
      <c r="G29" s="105"/>
      <c r="H29" s="105"/>
      <c r="I29" s="105"/>
      <c r="J29" s="35">
        <f>'Stavební rozpočet'!J129</f>
        <v>45588.262499999997</v>
      </c>
      <c r="K29" s="35">
        <f>'Stavební rozpočet'!K129</f>
        <v>264269.19959999999</v>
      </c>
      <c r="L29" s="38">
        <f>'Stavební rozpočet'!L129</f>
        <v>309857.4621</v>
      </c>
      <c r="M29" s="33" t="s">
        <v>129</v>
      </c>
      <c r="N29" s="35">
        <f t="shared" si="0"/>
        <v>309857.4621</v>
      </c>
      <c r="O29" s="17" t="s">
        <v>60</v>
      </c>
      <c r="P29" s="35">
        <f t="shared" si="1"/>
        <v>0</v>
      </c>
    </row>
    <row r="30" spans="1:16">
      <c r="A30" s="25" t="s">
        <v>60</v>
      </c>
      <c r="B30" s="17" t="s">
        <v>141</v>
      </c>
      <c r="C30" s="115" t="s">
        <v>192</v>
      </c>
      <c r="D30" s="105"/>
      <c r="E30" s="105"/>
      <c r="F30" s="105"/>
      <c r="G30" s="105"/>
      <c r="H30" s="105"/>
      <c r="I30" s="105"/>
      <c r="J30" s="35">
        <f>'Stavební rozpočet'!J142</f>
        <v>0</v>
      </c>
      <c r="K30" s="35">
        <f>'Stavební rozpočet'!K142</f>
        <v>4075.38</v>
      </c>
      <c r="L30" s="38">
        <f>'Stavební rozpočet'!L142</f>
        <v>4075.38</v>
      </c>
      <c r="M30" s="33" t="s">
        <v>129</v>
      </c>
      <c r="N30" s="35">
        <f t="shared" si="0"/>
        <v>4075.38</v>
      </c>
      <c r="O30" s="17" t="s">
        <v>60</v>
      </c>
      <c r="P30" s="35">
        <f t="shared" si="1"/>
        <v>0</v>
      </c>
    </row>
    <row r="31" spans="1:16">
      <c r="A31" s="25" t="s">
        <v>60</v>
      </c>
      <c r="B31" s="17" t="s">
        <v>145</v>
      </c>
      <c r="C31" s="115" t="s">
        <v>196</v>
      </c>
      <c r="D31" s="105"/>
      <c r="E31" s="105"/>
      <c r="F31" s="105"/>
      <c r="G31" s="105"/>
      <c r="H31" s="105"/>
      <c r="I31" s="105"/>
      <c r="J31" s="35">
        <f>'Stavební rozpočet'!J144</f>
        <v>0</v>
      </c>
      <c r="K31" s="35">
        <f>'Stavební rozpočet'!K144</f>
        <v>11227.627979999999</v>
      </c>
      <c r="L31" s="38">
        <f>'Stavební rozpočet'!L144</f>
        <v>11227.627979999999</v>
      </c>
      <c r="M31" s="33" t="s">
        <v>129</v>
      </c>
      <c r="N31" s="35">
        <f t="shared" si="0"/>
        <v>11227.627979999999</v>
      </c>
      <c r="O31" s="17" t="s">
        <v>60</v>
      </c>
      <c r="P31" s="35">
        <f t="shared" si="1"/>
        <v>0</v>
      </c>
    </row>
    <row r="32" spans="1:16">
      <c r="A32" s="25" t="s">
        <v>60</v>
      </c>
      <c r="B32" s="17" t="s">
        <v>146</v>
      </c>
      <c r="C32" s="115" t="s">
        <v>197</v>
      </c>
      <c r="D32" s="105"/>
      <c r="E32" s="105"/>
      <c r="F32" s="105"/>
      <c r="G32" s="105"/>
      <c r="H32" s="105"/>
      <c r="I32" s="105"/>
      <c r="J32" s="35">
        <f>'Stavební rozpočet'!J151</f>
        <v>0</v>
      </c>
      <c r="K32" s="35">
        <f>'Stavební rozpočet'!K151</f>
        <v>284375.46162000002</v>
      </c>
      <c r="L32" s="38">
        <f>'Stavební rozpočet'!L151</f>
        <v>284375.46162000002</v>
      </c>
      <c r="M32" s="33" t="s">
        <v>129</v>
      </c>
      <c r="N32" s="35">
        <f t="shared" si="0"/>
        <v>284375.46162000002</v>
      </c>
      <c r="O32" s="17" t="s">
        <v>60</v>
      </c>
      <c r="P32" s="35">
        <f t="shared" si="1"/>
        <v>0</v>
      </c>
    </row>
    <row r="33" spans="1:16">
      <c r="A33" s="25" t="s">
        <v>60</v>
      </c>
      <c r="B33" s="17" t="s">
        <v>147</v>
      </c>
      <c r="C33" s="115" t="s">
        <v>198</v>
      </c>
      <c r="D33" s="105"/>
      <c r="E33" s="105"/>
      <c r="F33" s="105"/>
      <c r="G33" s="105"/>
      <c r="H33" s="105"/>
      <c r="I33" s="105"/>
      <c r="J33" s="35">
        <f>'Stavební rozpočet'!J155</f>
        <v>0</v>
      </c>
      <c r="K33" s="35">
        <f>'Stavební rozpočet'!K155</f>
        <v>102581.61874000001</v>
      </c>
      <c r="L33" s="38">
        <f>'Stavební rozpočet'!L155</f>
        <v>102581.61874000001</v>
      </c>
      <c r="M33" s="33" t="s">
        <v>129</v>
      </c>
      <c r="N33" s="35">
        <f t="shared" si="0"/>
        <v>102581.61874000001</v>
      </c>
      <c r="O33" s="17" t="s">
        <v>60</v>
      </c>
      <c r="P33" s="35">
        <f t="shared" si="1"/>
        <v>0</v>
      </c>
    </row>
    <row r="34" spans="1:16">
      <c r="A34" s="25" t="s">
        <v>60</v>
      </c>
      <c r="B34" s="17" t="s">
        <v>148</v>
      </c>
      <c r="C34" s="115" t="s">
        <v>199</v>
      </c>
      <c r="D34" s="105"/>
      <c r="E34" s="105"/>
      <c r="F34" s="105"/>
      <c r="G34" s="105"/>
      <c r="H34" s="105"/>
      <c r="I34" s="105"/>
      <c r="J34" s="35">
        <f>'Stavební rozpočet'!J158</f>
        <v>19338</v>
      </c>
      <c r="K34" s="35">
        <f>'Stavební rozpočet'!K158</f>
        <v>11389.084589999999</v>
      </c>
      <c r="L34" s="38">
        <f>'Stavební rozpočet'!L158</f>
        <v>30727.084590000002</v>
      </c>
      <c r="M34" s="33" t="s">
        <v>129</v>
      </c>
      <c r="N34" s="35">
        <f t="shared" si="0"/>
        <v>30727.084590000002</v>
      </c>
      <c r="O34" s="17" t="s">
        <v>60</v>
      </c>
      <c r="P34" s="35">
        <f t="shared" si="1"/>
        <v>0</v>
      </c>
    </row>
    <row r="35" spans="1:16">
      <c r="A35" s="25" t="s">
        <v>60</v>
      </c>
      <c r="B35" s="17" t="s">
        <v>149</v>
      </c>
      <c r="C35" s="115" t="s">
        <v>200</v>
      </c>
      <c r="D35" s="105"/>
      <c r="E35" s="105"/>
      <c r="F35" s="105"/>
      <c r="G35" s="105"/>
      <c r="H35" s="105"/>
      <c r="I35" s="105"/>
      <c r="J35" s="35">
        <f>'Stavební rozpočet'!J167</f>
        <v>12296.84375</v>
      </c>
      <c r="K35" s="35">
        <f>'Stavební rozpočet'!K167</f>
        <v>14351.306</v>
      </c>
      <c r="L35" s="38">
        <f>'Stavební rozpočet'!L167</f>
        <v>26648.14975</v>
      </c>
      <c r="M35" s="33" t="s">
        <v>129</v>
      </c>
      <c r="N35" s="35">
        <f t="shared" si="0"/>
        <v>26648.14975</v>
      </c>
      <c r="O35" s="17" t="s">
        <v>60</v>
      </c>
      <c r="P35" s="35">
        <f t="shared" si="1"/>
        <v>0</v>
      </c>
    </row>
    <row r="36" spans="1:16">
      <c r="A36" s="25" t="s">
        <v>61</v>
      </c>
      <c r="B36" s="17"/>
      <c r="C36" s="115" t="s">
        <v>77</v>
      </c>
      <c r="D36" s="105"/>
      <c r="E36" s="105"/>
      <c r="F36" s="105"/>
      <c r="G36" s="105"/>
      <c r="H36" s="105"/>
      <c r="I36" s="105"/>
      <c r="J36" s="35">
        <f>'Stavební rozpočet'!J173</f>
        <v>964900.39999999991</v>
      </c>
      <c r="K36" s="35">
        <f>'Stavební rozpočet'!K173</f>
        <v>542994.87028999999</v>
      </c>
      <c r="L36" s="38">
        <f>'Stavební rozpočet'!L173</f>
        <v>1507895.2702899999</v>
      </c>
      <c r="M36" s="33" t="s">
        <v>96</v>
      </c>
      <c r="N36" s="35">
        <f t="shared" si="0"/>
        <v>0</v>
      </c>
      <c r="O36" s="17" t="s">
        <v>61</v>
      </c>
      <c r="P36" s="35">
        <f t="shared" si="1"/>
        <v>1507895.2702899999</v>
      </c>
    </row>
    <row r="37" spans="1:16">
      <c r="A37" s="25" t="s">
        <v>61</v>
      </c>
      <c r="B37" s="17" t="s">
        <v>131</v>
      </c>
      <c r="C37" s="115" t="s">
        <v>182</v>
      </c>
      <c r="D37" s="105"/>
      <c r="E37" s="105"/>
      <c r="F37" s="105"/>
      <c r="G37" s="105"/>
      <c r="H37" s="105"/>
      <c r="I37" s="105"/>
      <c r="J37" s="35">
        <f>'Stavební rozpočet'!J174</f>
        <v>0</v>
      </c>
      <c r="K37" s="35">
        <f>'Stavební rozpočet'!K174</f>
        <v>3625.2000000000003</v>
      </c>
      <c r="L37" s="38">
        <f>'Stavební rozpočet'!L174</f>
        <v>3625.2000000000003</v>
      </c>
      <c r="M37" s="33" t="s">
        <v>129</v>
      </c>
      <c r="N37" s="35">
        <f t="shared" si="0"/>
        <v>3625.2000000000003</v>
      </c>
      <c r="O37" s="17" t="s">
        <v>61</v>
      </c>
      <c r="P37" s="35">
        <f t="shared" si="1"/>
        <v>0</v>
      </c>
    </row>
    <row r="38" spans="1:16">
      <c r="A38" s="25" t="s">
        <v>61</v>
      </c>
      <c r="B38" s="17" t="s">
        <v>132</v>
      </c>
      <c r="C38" s="115" t="s">
        <v>183</v>
      </c>
      <c r="D38" s="105"/>
      <c r="E38" s="105"/>
      <c r="F38" s="105"/>
      <c r="G38" s="105"/>
      <c r="H38" s="105"/>
      <c r="I38" s="105"/>
      <c r="J38" s="35">
        <f>'Stavební rozpočet'!J176</f>
        <v>0</v>
      </c>
      <c r="K38" s="35">
        <f>'Stavební rozpočet'!K176</f>
        <v>10855.8</v>
      </c>
      <c r="L38" s="38">
        <f>'Stavební rozpočet'!L176</f>
        <v>10855.8</v>
      </c>
      <c r="M38" s="33" t="s">
        <v>129</v>
      </c>
      <c r="N38" s="35">
        <f t="shared" si="0"/>
        <v>10855.8</v>
      </c>
      <c r="O38" s="17" t="s">
        <v>61</v>
      </c>
      <c r="P38" s="35">
        <f t="shared" si="1"/>
        <v>0</v>
      </c>
    </row>
    <row r="39" spans="1:16">
      <c r="A39" s="25" t="s">
        <v>61</v>
      </c>
      <c r="B39" s="17" t="s">
        <v>133</v>
      </c>
      <c r="C39" s="115" t="s">
        <v>184</v>
      </c>
      <c r="D39" s="105"/>
      <c r="E39" s="105"/>
      <c r="F39" s="105"/>
      <c r="G39" s="105"/>
      <c r="H39" s="105"/>
      <c r="I39" s="105"/>
      <c r="J39" s="35">
        <f>'Stavební rozpočet'!J179</f>
        <v>0</v>
      </c>
      <c r="K39" s="35">
        <f>'Stavební rozpočet'!K179</f>
        <v>55730.400000000001</v>
      </c>
      <c r="L39" s="38">
        <f>'Stavební rozpočet'!L179</f>
        <v>55730.400000000001</v>
      </c>
      <c r="M39" s="33" t="s">
        <v>129</v>
      </c>
      <c r="N39" s="35">
        <f t="shared" si="0"/>
        <v>55730.400000000001</v>
      </c>
      <c r="O39" s="17" t="s">
        <v>61</v>
      </c>
      <c r="P39" s="35">
        <f t="shared" si="1"/>
        <v>0</v>
      </c>
    </row>
    <row r="40" spans="1:16">
      <c r="A40" s="25" t="s">
        <v>61</v>
      </c>
      <c r="B40" s="17" t="s">
        <v>134</v>
      </c>
      <c r="C40" s="115" t="s">
        <v>185</v>
      </c>
      <c r="D40" s="105"/>
      <c r="E40" s="105"/>
      <c r="F40" s="105"/>
      <c r="G40" s="105"/>
      <c r="H40" s="105"/>
      <c r="I40" s="105"/>
      <c r="J40" s="35">
        <f>'Stavební rozpočet'!J185</f>
        <v>0</v>
      </c>
      <c r="K40" s="35">
        <f>'Stavební rozpočet'!K185</f>
        <v>3528</v>
      </c>
      <c r="L40" s="38">
        <f>'Stavební rozpočet'!L185</f>
        <v>3528</v>
      </c>
      <c r="M40" s="33" t="s">
        <v>129</v>
      </c>
      <c r="N40" s="35">
        <f t="shared" si="0"/>
        <v>3528</v>
      </c>
      <c r="O40" s="17" t="s">
        <v>61</v>
      </c>
      <c r="P40" s="35">
        <f t="shared" si="1"/>
        <v>0</v>
      </c>
    </row>
    <row r="41" spans="1:16">
      <c r="A41" s="25" t="s">
        <v>61</v>
      </c>
      <c r="B41" s="17" t="s">
        <v>136</v>
      </c>
      <c r="C41" s="115" t="s">
        <v>187</v>
      </c>
      <c r="D41" s="105"/>
      <c r="E41" s="105"/>
      <c r="F41" s="105"/>
      <c r="G41" s="105"/>
      <c r="H41" s="105"/>
      <c r="I41" s="105"/>
      <c r="J41" s="35">
        <f>'Stavební rozpočet'!J187</f>
        <v>307356</v>
      </c>
      <c r="K41" s="35">
        <f>'Stavební rozpočet'!K187</f>
        <v>37278.45304</v>
      </c>
      <c r="L41" s="38">
        <f>'Stavební rozpočet'!L187</f>
        <v>344634.45303999999</v>
      </c>
      <c r="M41" s="33" t="s">
        <v>129</v>
      </c>
      <c r="N41" s="35">
        <f t="shared" si="0"/>
        <v>344634.45303999999</v>
      </c>
      <c r="O41" s="17" t="s">
        <v>61</v>
      </c>
      <c r="P41" s="35">
        <f t="shared" si="1"/>
        <v>0</v>
      </c>
    </row>
    <row r="42" spans="1:16">
      <c r="A42" s="25" t="s">
        <v>61</v>
      </c>
      <c r="B42" s="17" t="s">
        <v>141</v>
      </c>
      <c r="C42" s="115" t="s">
        <v>192</v>
      </c>
      <c r="D42" s="105"/>
      <c r="E42" s="105"/>
      <c r="F42" s="105"/>
      <c r="G42" s="105"/>
      <c r="H42" s="105"/>
      <c r="I42" s="105"/>
      <c r="J42" s="35">
        <f>'Stavební rozpočet'!J197</f>
        <v>0</v>
      </c>
      <c r="K42" s="35">
        <f>'Stavební rozpočet'!K197</f>
        <v>85390.574999999997</v>
      </c>
      <c r="L42" s="38">
        <f>'Stavební rozpočet'!L197</f>
        <v>85390.574999999997</v>
      </c>
      <c r="M42" s="33" t="s">
        <v>129</v>
      </c>
      <c r="N42" s="35">
        <f t="shared" si="0"/>
        <v>85390.574999999997</v>
      </c>
      <c r="O42" s="17" t="s">
        <v>61</v>
      </c>
      <c r="P42" s="35">
        <f t="shared" si="1"/>
        <v>0</v>
      </c>
    </row>
    <row r="43" spans="1:16">
      <c r="A43" s="25" t="s">
        <v>61</v>
      </c>
      <c r="B43" s="17" t="s">
        <v>142</v>
      </c>
      <c r="C43" s="115" t="s">
        <v>193</v>
      </c>
      <c r="D43" s="105"/>
      <c r="E43" s="105"/>
      <c r="F43" s="105"/>
      <c r="G43" s="105"/>
      <c r="H43" s="105"/>
      <c r="I43" s="105"/>
      <c r="J43" s="35">
        <f>'Stavební rozpočet'!J199</f>
        <v>0</v>
      </c>
      <c r="K43" s="35">
        <f>'Stavební rozpočet'!K199</f>
        <v>30109.477199999998</v>
      </c>
      <c r="L43" s="38">
        <f>'Stavební rozpočet'!L199</f>
        <v>30109.477199999998</v>
      </c>
      <c r="M43" s="33" t="s">
        <v>129</v>
      </c>
      <c r="N43" s="35">
        <f t="shared" si="0"/>
        <v>30109.477199999998</v>
      </c>
      <c r="O43" s="17" t="s">
        <v>61</v>
      </c>
      <c r="P43" s="35">
        <f t="shared" si="1"/>
        <v>0</v>
      </c>
    </row>
    <row r="44" spans="1:16">
      <c r="A44" s="25" t="s">
        <v>61</v>
      </c>
      <c r="B44" s="17" t="s">
        <v>145</v>
      </c>
      <c r="C44" s="115" t="s">
        <v>196</v>
      </c>
      <c r="D44" s="105"/>
      <c r="E44" s="105"/>
      <c r="F44" s="105"/>
      <c r="G44" s="105"/>
      <c r="H44" s="105"/>
      <c r="I44" s="105"/>
      <c r="J44" s="35">
        <f>'Stavební rozpočet'!J213</f>
        <v>0</v>
      </c>
      <c r="K44" s="35">
        <f>'Stavební rozpočet'!K213</f>
        <v>15987.453659999999</v>
      </c>
      <c r="L44" s="38">
        <f>'Stavební rozpočet'!L213</f>
        <v>15987.453659999999</v>
      </c>
      <c r="M44" s="33" t="s">
        <v>129</v>
      </c>
      <c r="N44" s="35">
        <f t="shared" ref="N44:N75" si="2">IF(M44="F",0,L44)</f>
        <v>15987.453659999999</v>
      </c>
      <c r="O44" s="17" t="s">
        <v>61</v>
      </c>
      <c r="P44" s="35">
        <f t="shared" ref="P44:P75" si="3">IF(M44="T",0,L44)</f>
        <v>0</v>
      </c>
    </row>
    <row r="45" spans="1:16">
      <c r="A45" s="25" t="s">
        <v>61</v>
      </c>
      <c r="B45" s="17" t="s">
        <v>150</v>
      </c>
      <c r="C45" s="115" t="s">
        <v>201</v>
      </c>
      <c r="D45" s="105"/>
      <c r="E45" s="105"/>
      <c r="F45" s="105"/>
      <c r="G45" s="105"/>
      <c r="H45" s="105"/>
      <c r="I45" s="105"/>
      <c r="J45" s="35">
        <f>'Stavební rozpočet'!J221</f>
        <v>0</v>
      </c>
      <c r="K45" s="35">
        <f>'Stavební rozpočet'!K221</f>
        <v>2801.3999999999996</v>
      </c>
      <c r="L45" s="38">
        <f>'Stavební rozpočet'!L221</f>
        <v>2801.3999999999996</v>
      </c>
      <c r="M45" s="33" t="s">
        <v>129</v>
      </c>
      <c r="N45" s="35">
        <f t="shared" si="2"/>
        <v>2801.3999999999996</v>
      </c>
      <c r="O45" s="17" t="s">
        <v>61</v>
      </c>
      <c r="P45" s="35">
        <f t="shared" si="3"/>
        <v>0</v>
      </c>
    </row>
    <row r="46" spans="1:16">
      <c r="A46" s="25" t="s">
        <v>61</v>
      </c>
      <c r="B46" s="17" t="s">
        <v>151</v>
      </c>
      <c r="C46" s="115" t="s">
        <v>202</v>
      </c>
      <c r="D46" s="105"/>
      <c r="E46" s="105"/>
      <c r="F46" s="105"/>
      <c r="G46" s="105"/>
      <c r="H46" s="105"/>
      <c r="I46" s="105"/>
      <c r="J46" s="35">
        <f>'Stavební rozpočet'!J223</f>
        <v>0</v>
      </c>
      <c r="K46" s="35">
        <f>'Stavební rozpočet'!K223</f>
        <v>360.42782999999997</v>
      </c>
      <c r="L46" s="38">
        <f>'Stavební rozpočet'!L223</f>
        <v>360.42782999999997</v>
      </c>
      <c r="M46" s="33" t="s">
        <v>129</v>
      </c>
      <c r="N46" s="35">
        <f t="shared" si="2"/>
        <v>360.42782999999997</v>
      </c>
      <c r="O46" s="17" t="s">
        <v>61</v>
      </c>
      <c r="P46" s="35">
        <f t="shared" si="3"/>
        <v>0</v>
      </c>
    </row>
    <row r="47" spans="1:16">
      <c r="A47" s="25" t="s">
        <v>61</v>
      </c>
      <c r="B47" s="17" t="s">
        <v>152</v>
      </c>
      <c r="C47" s="115" t="s">
        <v>203</v>
      </c>
      <c r="D47" s="105"/>
      <c r="E47" s="105"/>
      <c r="F47" s="105"/>
      <c r="G47" s="105"/>
      <c r="H47" s="105"/>
      <c r="I47" s="105"/>
      <c r="J47" s="35">
        <f>'Stavební rozpočet'!J231</f>
        <v>657544.39999999991</v>
      </c>
      <c r="K47" s="35">
        <f>'Stavební rozpočet'!K231</f>
        <v>154305.99256000001</v>
      </c>
      <c r="L47" s="38">
        <f>'Stavební rozpočet'!L231</f>
        <v>811850.39255999995</v>
      </c>
      <c r="M47" s="33" t="s">
        <v>129</v>
      </c>
      <c r="N47" s="35">
        <f t="shared" si="2"/>
        <v>811850.39255999995</v>
      </c>
      <c r="O47" s="17" t="s">
        <v>61</v>
      </c>
      <c r="P47" s="35">
        <f t="shared" si="3"/>
        <v>0</v>
      </c>
    </row>
    <row r="48" spans="1:16">
      <c r="A48" s="25" t="s">
        <v>61</v>
      </c>
      <c r="B48" s="17" t="s">
        <v>153</v>
      </c>
      <c r="C48" s="115" t="s">
        <v>204</v>
      </c>
      <c r="D48" s="105"/>
      <c r="E48" s="105"/>
      <c r="F48" s="105"/>
      <c r="G48" s="105"/>
      <c r="H48" s="105"/>
      <c r="I48" s="105"/>
      <c r="J48" s="35">
        <f>'Stavební rozpočet'!J268</f>
        <v>0</v>
      </c>
      <c r="K48" s="35">
        <f>'Stavební rozpočet'!K268</f>
        <v>138720.17250000002</v>
      </c>
      <c r="L48" s="38">
        <f>'Stavební rozpočet'!L268</f>
        <v>138720.17250000002</v>
      </c>
      <c r="M48" s="33" t="s">
        <v>129</v>
      </c>
      <c r="N48" s="35">
        <f t="shared" si="2"/>
        <v>138720.17250000002</v>
      </c>
      <c r="O48" s="17" t="s">
        <v>61</v>
      </c>
      <c r="P48" s="35">
        <f t="shared" si="3"/>
        <v>0</v>
      </c>
    </row>
    <row r="49" spans="1:16">
      <c r="A49" s="25" t="s">
        <v>61</v>
      </c>
      <c r="B49" s="17" t="s">
        <v>154</v>
      </c>
      <c r="C49" s="115" t="s">
        <v>205</v>
      </c>
      <c r="D49" s="105"/>
      <c r="E49" s="105"/>
      <c r="F49" s="105"/>
      <c r="G49" s="105"/>
      <c r="H49" s="105"/>
      <c r="I49" s="105"/>
      <c r="J49" s="35">
        <f>'Stavební rozpočet'!J275</f>
        <v>0</v>
      </c>
      <c r="K49" s="35">
        <f>'Stavební rozpočet'!K275</f>
        <v>4301.5185000000001</v>
      </c>
      <c r="L49" s="38">
        <f>'Stavební rozpočet'!L275</f>
        <v>4301.5185000000001</v>
      </c>
      <c r="M49" s="33" t="s">
        <v>129</v>
      </c>
      <c r="N49" s="35">
        <f t="shared" si="2"/>
        <v>4301.5185000000001</v>
      </c>
      <c r="O49" s="17" t="s">
        <v>61</v>
      </c>
      <c r="P49" s="35">
        <f t="shared" si="3"/>
        <v>0</v>
      </c>
    </row>
    <row r="50" spans="1:16">
      <c r="A50" s="25" t="s">
        <v>62</v>
      </c>
      <c r="B50" s="17"/>
      <c r="C50" s="115" t="s">
        <v>78</v>
      </c>
      <c r="D50" s="105"/>
      <c r="E50" s="105"/>
      <c r="F50" s="105"/>
      <c r="G50" s="105"/>
      <c r="H50" s="105"/>
      <c r="I50" s="105"/>
      <c r="J50" s="35">
        <f>'Stavební rozpočet'!J277</f>
        <v>0</v>
      </c>
      <c r="K50" s="35">
        <f>'Stavební rozpočet'!K277</f>
        <v>33325.002800000002</v>
      </c>
      <c r="L50" s="38">
        <f>'Stavební rozpočet'!L277</f>
        <v>33325.002800000002</v>
      </c>
      <c r="M50" s="33" t="s">
        <v>96</v>
      </c>
      <c r="N50" s="35">
        <f t="shared" si="2"/>
        <v>0</v>
      </c>
      <c r="O50" s="17" t="s">
        <v>62</v>
      </c>
      <c r="P50" s="35">
        <f t="shared" si="3"/>
        <v>33325.002800000002</v>
      </c>
    </row>
    <row r="51" spans="1:16">
      <c r="A51" s="25" t="s">
        <v>62</v>
      </c>
      <c r="B51" s="17" t="s">
        <v>155</v>
      </c>
      <c r="C51" s="115" t="s">
        <v>206</v>
      </c>
      <c r="D51" s="105"/>
      <c r="E51" s="105"/>
      <c r="F51" s="105"/>
      <c r="G51" s="105"/>
      <c r="H51" s="105"/>
      <c r="I51" s="105"/>
      <c r="J51" s="35">
        <f>'Stavební rozpočet'!J278</f>
        <v>0</v>
      </c>
      <c r="K51" s="35">
        <f>'Stavební rozpočet'!K278</f>
        <v>675.55600000000004</v>
      </c>
      <c r="L51" s="38">
        <f>'Stavební rozpočet'!L278</f>
        <v>675.55600000000004</v>
      </c>
      <c r="M51" s="33" t="s">
        <v>129</v>
      </c>
      <c r="N51" s="35">
        <f t="shared" si="2"/>
        <v>675.55600000000004</v>
      </c>
      <c r="O51" s="17" t="s">
        <v>62</v>
      </c>
      <c r="P51" s="35">
        <f t="shared" si="3"/>
        <v>0</v>
      </c>
    </row>
    <row r="52" spans="1:16">
      <c r="A52" s="25" t="s">
        <v>62</v>
      </c>
      <c r="B52" s="17" t="s">
        <v>156</v>
      </c>
      <c r="C52" s="115" t="s">
        <v>207</v>
      </c>
      <c r="D52" s="105"/>
      <c r="E52" s="105"/>
      <c r="F52" s="105"/>
      <c r="G52" s="105"/>
      <c r="H52" s="105"/>
      <c r="I52" s="105"/>
      <c r="J52" s="35">
        <f>'Stavební rozpočet'!J285</f>
        <v>0</v>
      </c>
      <c r="K52" s="35">
        <f>'Stavební rozpočet'!K285</f>
        <v>198.792</v>
      </c>
      <c r="L52" s="38">
        <f>'Stavební rozpočet'!L285</f>
        <v>198.792</v>
      </c>
      <c r="M52" s="33" t="s">
        <v>129</v>
      </c>
      <c r="N52" s="35">
        <f t="shared" si="2"/>
        <v>198.792</v>
      </c>
      <c r="O52" s="17" t="s">
        <v>62</v>
      </c>
      <c r="P52" s="35">
        <f t="shared" si="3"/>
        <v>0</v>
      </c>
    </row>
    <row r="53" spans="1:16">
      <c r="A53" s="25" t="s">
        <v>62</v>
      </c>
      <c r="B53" s="17" t="s">
        <v>157</v>
      </c>
      <c r="C53" s="115" t="s">
        <v>208</v>
      </c>
      <c r="D53" s="105"/>
      <c r="E53" s="105"/>
      <c r="F53" s="105"/>
      <c r="G53" s="105"/>
      <c r="H53" s="105"/>
      <c r="I53" s="105"/>
      <c r="J53" s="35">
        <f>'Stavební rozpočet'!J290</f>
        <v>0</v>
      </c>
      <c r="K53" s="35">
        <f>'Stavební rozpočet'!K290</f>
        <v>18434.754800000002</v>
      </c>
      <c r="L53" s="38">
        <f>'Stavební rozpočet'!L290</f>
        <v>18434.754800000002</v>
      </c>
      <c r="M53" s="33" t="s">
        <v>129</v>
      </c>
      <c r="N53" s="35">
        <f t="shared" si="2"/>
        <v>18434.754800000002</v>
      </c>
      <c r="O53" s="17" t="s">
        <v>62</v>
      </c>
      <c r="P53" s="35">
        <f t="shared" si="3"/>
        <v>0</v>
      </c>
    </row>
    <row r="54" spans="1:16">
      <c r="A54" s="25" t="s">
        <v>62</v>
      </c>
      <c r="B54" s="17" t="s">
        <v>158</v>
      </c>
      <c r="C54" s="115" t="s">
        <v>209</v>
      </c>
      <c r="D54" s="105"/>
      <c r="E54" s="105"/>
      <c r="F54" s="105"/>
      <c r="G54" s="105"/>
      <c r="H54" s="105"/>
      <c r="I54" s="105"/>
      <c r="J54" s="35">
        <f>'Stavební rozpočet'!J303</f>
        <v>0</v>
      </c>
      <c r="K54" s="35">
        <f>'Stavební rozpočet'!K303</f>
        <v>15.9</v>
      </c>
      <c r="L54" s="38">
        <f>'Stavební rozpočet'!L303</f>
        <v>15.9</v>
      </c>
      <c r="M54" s="33" t="s">
        <v>129</v>
      </c>
      <c r="N54" s="35">
        <f t="shared" si="2"/>
        <v>15.9</v>
      </c>
      <c r="O54" s="17" t="s">
        <v>62</v>
      </c>
      <c r="P54" s="35">
        <f t="shared" si="3"/>
        <v>0</v>
      </c>
    </row>
    <row r="55" spans="1:16">
      <c r="A55" s="25" t="s">
        <v>62</v>
      </c>
      <c r="B55" s="17" t="s">
        <v>159</v>
      </c>
      <c r="C55" s="115" t="s">
        <v>40</v>
      </c>
      <c r="D55" s="105"/>
      <c r="E55" s="105"/>
      <c r="F55" s="105"/>
      <c r="G55" s="105"/>
      <c r="H55" s="105"/>
      <c r="I55" s="105"/>
      <c r="J55" s="35">
        <f>'Stavební rozpočet'!J306</f>
        <v>0</v>
      </c>
      <c r="K55" s="35">
        <f>'Stavební rozpočet'!K306</f>
        <v>14000</v>
      </c>
      <c r="L55" s="38">
        <f>'Stavební rozpočet'!L306</f>
        <v>14000</v>
      </c>
      <c r="M55" s="33" t="s">
        <v>129</v>
      </c>
      <c r="N55" s="35">
        <f t="shared" si="2"/>
        <v>14000</v>
      </c>
      <c r="O55" s="17" t="s">
        <v>62</v>
      </c>
      <c r="P55" s="35">
        <f t="shared" si="3"/>
        <v>0</v>
      </c>
    </row>
    <row r="56" spans="1:16">
      <c r="A56" s="25" t="s">
        <v>63</v>
      </c>
      <c r="B56" s="17"/>
      <c r="C56" s="115" t="s">
        <v>79</v>
      </c>
      <c r="D56" s="105"/>
      <c r="E56" s="105"/>
      <c r="F56" s="105"/>
      <c r="G56" s="105"/>
      <c r="H56" s="105"/>
      <c r="I56" s="105"/>
      <c r="J56" s="35">
        <f>'Stavební rozpočet'!J309</f>
        <v>103197.6</v>
      </c>
      <c r="K56" s="35">
        <f>'Stavební rozpočet'!K309</f>
        <v>88038.349560000002</v>
      </c>
      <c r="L56" s="38">
        <f>'Stavební rozpočet'!L309</f>
        <v>191235.94956000001</v>
      </c>
      <c r="M56" s="33" t="s">
        <v>96</v>
      </c>
      <c r="N56" s="35">
        <f t="shared" si="2"/>
        <v>0</v>
      </c>
      <c r="O56" s="17" t="s">
        <v>63</v>
      </c>
      <c r="P56" s="35">
        <f t="shared" si="3"/>
        <v>191235.94956000001</v>
      </c>
    </row>
    <row r="57" spans="1:16">
      <c r="A57" s="25" t="s">
        <v>63</v>
      </c>
      <c r="B57" s="17" t="s">
        <v>156</v>
      </c>
      <c r="C57" s="115" t="s">
        <v>207</v>
      </c>
      <c r="D57" s="105"/>
      <c r="E57" s="105"/>
      <c r="F57" s="105"/>
      <c r="G57" s="105"/>
      <c r="H57" s="105"/>
      <c r="I57" s="105"/>
      <c r="J57" s="35">
        <f>'Stavební rozpočet'!J310</f>
        <v>0</v>
      </c>
      <c r="K57" s="35">
        <f>'Stavební rozpočet'!K310</f>
        <v>27303.694799999997</v>
      </c>
      <c r="L57" s="38">
        <f>'Stavební rozpočet'!L310</f>
        <v>27303.694799999997</v>
      </c>
      <c r="M57" s="33" t="s">
        <v>129</v>
      </c>
      <c r="N57" s="35">
        <f t="shared" si="2"/>
        <v>27303.694799999997</v>
      </c>
      <c r="O57" s="17" t="s">
        <v>63</v>
      </c>
      <c r="P57" s="35">
        <f t="shared" si="3"/>
        <v>0</v>
      </c>
    </row>
    <row r="58" spans="1:16">
      <c r="A58" s="25" t="s">
        <v>63</v>
      </c>
      <c r="B58" s="17" t="s">
        <v>157</v>
      </c>
      <c r="C58" s="115" t="s">
        <v>208</v>
      </c>
      <c r="D58" s="105"/>
      <c r="E58" s="105"/>
      <c r="F58" s="105"/>
      <c r="G58" s="105"/>
      <c r="H58" s="105"/>
      <c r="I58" s="105"/>
      <c r="J58" s="35">
        <f>'Stavební rozpočet'!J319</f>
        <v>103197.6</v>
      </c>
      <c r="K58" s="35">
        <f>'Stavební rozpočet'!K319</f>
        <v>23314.286759999999</v>
      </c>
      <c r="L58" s="38">
        <f>'Stavební rozpočet'!L319</f>
        <v>126511.88676000001</v>
      </c>
      <c r="M58" s="33" t="s">
        <v>129</v>
      </c>
      <c r="N58" s="35">
        <f t="shared" si="2"/>
        <v>126511.88676000001</v>
      </c>
      <c r="O58" s="17" t="s">
        <v>63</v>
      </c>
      <c r="P58" s="35">
        <f t="shared" si="3"/>
        <v>0</v>
      </c>
    </row>
    <row r="59" spans="1:16">
      <c r="A59" s="25" t="s">
        <v>63</v>
      </c>
      <c r="B59" s="17" t="s">
        <v>158</v>
      </c>
      <c r="C59" s="115" t="s">
        <v>209</v>
      </c>
      <c r="D59" s="105"/>
      <c r="E59" s="105"/>
      <c r="F59" s="105"/>
      <c r="G59" s="105"/>
      <c r="H59" s="105"/>
      <c r="I59" s="105"/>
      <c r="J59" s="35">
        <f>'Stavební rozpočet'!J344</f>
        <v>0</v>
      </c>
      <c r="K59" s="35">
        <f>'Stavební rozpočet'!K344</f>
        <v>10320.368</v>
      </c>
      <c r="L59" s="38">
        <f>'Stavební rozpočet'!L344</f>
        <v>10320.368</v>
      </c>
      <c r="M59" s="33" t="s">
        <v>129</v>
      </c>
      <c r="N59" s="35">
        <f t="shared" si="2"/>
        <v>10320.368</v>
      </c>
      <c r="O59" s="17" t="s">
        <v>63</v>
      </c>
      <c r="P59" s="35">
        <f t="shared" si="3"/>
        <v>0</v>
      </c>
    </row>
    <row r="60" spans="1:16">
      <c r="A60" s="25" t="s">
        <v>63</v>
      </c>
      <c r="B60" s="17" t="s">
        <v>159</v>
      </c>
      <c r="C60" s="115" t="s">
        <v>40</v>
      </c>
      <c r="D60" s="105"/>
      <c r="E60" s="105"/>
      <c r="F60" s="105"/>
      <c r="G60" s="105"/>
      <c r="H60" s="105"/>
      <c r="I60" s="105"/>
      <c r="J60" s="35">
        <f>'Stavební rozpočet'!J353</f>
        <v>0</v>
      </c>
      <c r="K60" s="35">
        <f>'Stavební rozpočet'!K353</f>
        <v>27100</v>
      </c>
      <c r="L60" s="38">
        <f>'Stavební rozpočet'!L353</f>
        <v>27100</v>
      </c>
      <c r="M60" s="33" t="s">
        <v>129</v>
      </c>
      <c r="N60" s="35">
        <f t="shared" si="2"/>
        <v>27100</v>
      </c>
      <c r="O60" s="17" t="s">
        <v>63</v>
      </c>
      <c r="P60" s="35">
        <f t="shared" si="3"/>
        <v>0</v>
      </c>
    </row>
    <row r="61" spans="1:16">
      <c r="A61" s="25" t="s">
        <v>64</v>
      </c>
      <c r="B61" s="17"/>
      <c r="C61" s="115" t="s">
        <v>80</v>
      </c>
      <c r="D61" s="105"/>
      <c r="E61" s="105"/>
      <c r="F61" s="105"/>
      <c r="G61" s="105"/>
      <c r="H61" s="105"/>
      <c r="I61" s="105"/>
      <c r="J61" s="35">
        <f>'Stavební rozpočet'!J358</f>
        <v>43594</v>
      </c>
      <c r="K61" s="35">
        <f>'Stavební rozpočet'!K358</f>
        <v>24907.958500000001</v>
      </c>
      <c r="L61" s="38">
        <f>'Stavební rozpočet'!L358</f>
        <v>68501.958499999993</v>
      </c>
      <c r="M61" s="33" t="s">
        <v>96</v>
      </c>
      <c r="N61" s="35">
        <f t="shared" si="2"/>
        <v>0</v>
      </c>
      <c r="O61" s="17" t="s">
        <v>64</v>
      </c>
      <c r="P61" s="35">
        <f t="shared" si="3"/>
        <v>68501.958499999993</v>
      </c>
    </row>
    <row r="62" spans="1:16">
      <c r="A62" s="25" t="s">
        <v>64</v>
      </c>
      <c r="B62" s="17" t="s">
        <v>138</v>
      </c>
      <c r="C62" s="115" t="s">
        <v>189</v>
      </c>
      <c r="D62" s="105"/>
      <c r="E62" s="105"/>
      <c r="F62" s="105"/>
      <c r="G62" s="105"/>
      <c r="H62" s="105"/>
      <c r="I62" s="105"/>
      <c r="J62" s="35">
        <f>'Stavební rozpočet'!J359</f>
        <v>0</v>
      </c>
      <c r="K62" s="35">
        <f>'Stavební rozpočet'!K359</f>
        <v>250</v>
      </c>
      <c r="L62" s="38">
        <f>'Stavební rozpočet'!L359</f>
        <v>250</v>
      </c>
      <c r="M62" s="33" t="s">
        <v>129</v>
      </c>
      <c r="N62" s="35">
        <f t="shared" si="2"/>
        <v>250</v>
      </c>
      <c r="O62" s="17" t="s">
        <v>64</v>
      </c>
      <c r="P62" s="35">
        <f t="shared" si="3"/>
        <v>0</v>
      </c>
    </row>
    <row r="63" spans="1:16">
      <c r="A63" s="25" t="s">
        <v>64</v>
      </c>
      <c r="B63" s="17" t="s">
        <v>146</v>
      </c>
      <c r="C63" s="115" t="s">
        <v>197</v>
      </c>
      <c r="D63" s="105"/>
      <c r="E63" s="105"/>
      <c r="F63" s="105"/>
      <c r="G63" s="105"/>
      <c r="H63" s="105"/>
      <c r="I63" s="105"/>
      <c r="J63" s="35">
        <f>'Stavební rozpočet'!J364</f>
        <v>579.70000000000005</v>
      </c>
      <c r="K63" s="35">
        <f>'Stavební rozpočet'!K364</f>
        <v>267.86</v>
      </c>
      <c r="L63" s="38">
        <f>'Stavební rozpočet'!L364</f>
        <v>847.56000000000006</v>
      </c>
      <c r="M63" s="33" t="s">
        <v>129</v>
      </c>
      <c r="N63" s="35">
        <f t="shared" si="2"/>
        <v>847.56000000000006</v>
      </c>
      <c r="O63" s="17" t="s">
        <v>64</v>
      </c>
      <c r="P63" s="35">
        <f t="shared" si="3"/>
        <v>0</v>
      </c>
    </row>
    <row r="64" spans="1:16">
      <c r="A64" s="25" t="s">
        <v>64</v>
      </c>
      <c r="B64" s="17" t="s">
        <v>155</v>
      </c>
      <c r="C64" s="115" t="s">
        <v>206</v>
      </c>
      <c r="D64" s="105"/>
      <c r="E64" s="105"/>
      <c r="F64" s="105"/>
      <c r="G64" s="105"/>
      <c r="H64" s="105"/>
      <c r="I64" s="105"/>
      <c r="J64" s="35">
        <f>'Stavební rozpočet'!J373</f>
        <v>22540</v>
      </c>
      <c r="K64" s="35">
        <f>'Stavební rozpočet'!K373</f>
        <v>857.44</v>
      </c>
      <c r="L64" s="38">
        <f>'Stavební rozpočet'!L373</f>
        <v>23397.439999999999</v>
      </c>
      <c r="M64" s="33" t="s">
        <v>129</v>
      </c>
      <c r="N64" s="35">
        <f t="shared" si="2"/>
        <v>23397.439999999999</v>
      </c>
      <c r="O64" s="17" t="s">
        <v>64</v>
      </c>
      <c r="P64" s="35">
        <f t="shared" si="3"/>
        <v>0</v>
      </c>
    </row>
    <row r="65" spans="1:16">
      <c r="A65" s="25" t="s">
        <v>64</v>
      </c>
      <c r="B65" s="17" t="s">
        <v>156</v>
      </c>
      <c r="C65" s="115" t="s">
        <v>207</v>
      </c>
      <c r="D65" s="105"/>
      <c r="E65" s="105"/>
      <c r="F65" s="105"/>
      <c r="G65" s="105"/>
      <c r="H65" s="105"/>
      <c r="I65" s="105"/>
      <c r="J65" s="35">
        <f>'Stavební rozpočet'!J380</f>
        <v>0</v>
      </c>
      <c r="K65" s="35">
        <f>'Stavební rozpočet'!K380</f>
        <v>7604.2371000000003</v>
      </c>
      <c r="L65" s="38">
        <f>'Stavební rozpočet'!L380</f>
        <v>7604.2371000000003</v>
      </c>
      <c r="M65" s="33" t="s">
        <v>129</v>
      </c>
      <c r="N65" s="35">
        <f t="shared" si="2"/>
        <v>7604.2371000000003</v>
      </c>
      <c r="O65" s="17" t="s">
        <v>64</v>
      </c>
      <c r="P65" s="35">
        <f t="shared" si="3"/>
        <v>0</v>
      </c>
    </row>
    <row r="66" spans="1:16">
      <c r="A66" s="25" t="s">
        <v>64</v>
      </c>
      <c r="B66" s="17" t="s">
        <v>157</v>
      </c>
      <c r="C66" s="115" t="s">
        <v>208</v>
      </c>
      <c r="D66" s="105"/>
      <c r="E66" s="105"/>
      <c r="F66" s="105"/>
      <c r="G66" s="105"/>
      <c r="H66" s="105"/>
      <c r="I66" s="105"/>
      <c r="J66" s="35">
        <f>'Stavební rozpočet'!J395</f>
        <v>20474.300000000003</v>
      </c>
      <c r="K66" s="35">
        <f>'Stavební rozpočet'!K395</f>
        <v>9172.8714</v>
      </c>
      <c r="L66" s="38">
        <f>'Stavební rozpočet'!L395</f>
        <v>29647.171399999999</v>
      </c>
      <c r="M66" s="33" t="s">
        <v>129</v>
      </c>
      <c r="N66" s="35">
        <f t="shared" si="2"/>
        <v>29647.171399999999</v>
      </c>
      <c r="O66" s="17" t="s">
        <v>64</v>
      </c>
      <c r="P66" s="35">
        <f t="shared" si="3"/>
        <v>0</v>
      </c>
    </row>
    <row r="67" spans="1:16">
      <c r="A67" s="25" t="s">
        <v>64</v>
      </c>
      <c r="B67" s="17" t="s">
        <v>159</v>
      </c>
      <c r="C67" s="115" t="s">
        <v>40</v>
      </c>
      <c r="D67" s="105"/>
      <c r="E67" s="105"/>
      <c r="F67" s="105"/>
      <c r="G67" s="105"/>
      <c r="H67" s="105"/>
      <c r="I67" s="105"/>
      <c r="J67" s="35">
        <f>'Stavební rozpočet'!J422</f>
        <v>0</v>
      </c>
      <c r="K67" s="35">
        <f>'Stavební rozpočet'!K422</f>
        <v>6000</v>
      </c>
      <c r="L67" s="38">
        <f>'Stavební rozpočet'!L422</f>
        <v>6000</v>
      </c>
      <c r="M67" s="33" t="s">
        <v>129</v>
      </c>
      <c r="N67" s="35">
        <f t="shared" si="2"/>
        <v>6000</v>
      </c>
      <c r="O67" s="17" t="s">
        <v>64</v>
      </c>
      <c r="P67" s="35">
        <f t="shared" si="3"/>
        <v>0</v>
      </c>
    </row>
    <row r="68" spans="1:16">
      <c r="A68" s="25" t="s">
        <v>64</v>
      </c>
      <c r="B68" s="17" t="s">
        <v>160</v>
      </c>
      <c r="C68" s="115" t="s">
        <v>210</v>
      </c>
      <c r="D68" s="105"/>
      <c r="E68" s="105"/>
      <c r="F68" s="105"/>
      <c r="G68" s="105"/>
      <c r="H68" s="105"/>
      <c r="I68" s="105"/>
      <c r="J68" s="35">
        <f>'Stavební rozpočet'!J427</f>
        <v>0</v>
      </c>
      <c r="K68" s="35">
        <f>'Stavební rozpočet'!K427</f>
        <v>755.55</v>
      </c>
      <c r="L68" s="38">
        <f>'Stavební rozpočet'!L427</f>
        <v>755.55</v>
      </c>
      <c r="M68" s="33" t="s">
        <v>129</v>
      </c>
      <c r="N68" s="35">
        <f t="shared" si="2"/>
        <v>755.55</v>
      </c>
      <c r="O68" s="17" t="s">
        <v>64</v>
      </c>
      <c r="P68" s="35">
        <f t="shared" si="3"/>
        <v>0</v>
      </c>
    </row>
    <row r="69" spans="1:16">
      <c r="A69" s="25" t="s">
        <v>65</v>
      </c>
      <c r="B69" s="17"/>
      <c r="C69" s="115" t="s">
        <v>81</v>
      </c>
      <c r="D69" s="105"/>
      <c r="E69" s="105"/>
      <c r="F69" s="105"/>
      <c r="G69" s="105"/>
      <c r="H69" s="105"/>
      <c r="I69" s="105"/>
      <c r="J69" s="35">
        <f>'Stavební rozpočet'!J436</f>
        <v>65295.4</v>
      </c>
      <c r="K69" s="35">
        <f>'Stavební rozpočet'!K436</f>
        <v>86847</v>
      </c>
      <c r="L69" s="38">
        <f>'Stavební rozpočet'!L436</f>
        <v>152142.39999999999</v>
      </c>
      <c r="M69" s="33" t="s">
        <v>96</v>
      </c>
      <c r="N69" s="35">
        <f t="shared" si="2"/>
        <v>0</v>
      </c>
      <c r="O69" s="17" t="s">
        <v>65</v>
      </c>
      <c r="P69" s="35">
        <f t="shared" si="3"/>
        <v>152142.39999999999</v>
      </c>
    </row>
    <row r="70" spans="1:16">
      <c r="A70" s="25" t="s">
        <v>65</v>
      </c>
      <c r="B70" s="17" t="s">
        <v>161</v>
      </c>
      <c r="C70" s="115" t="s">
        <v>211</v>
      </c>
      <c r="D70" s="105"/>
      <c r="E70" s="105"/>
      <c r="F70" s="105"/>
      <c r="G70" s="105"/>
      <c r="H70" s="105"/>
      <c r="I70" s="105"/>
      <c r="J70" s="35">
        <f>'Stavební rozpočet'!J437</f>
        <v>65295.4</v>
      </c>
      <c r="K70" s="35">
        <f>'Stavební rozpočet'!K437</f>
        <v>80306</v>
      </c>
      <c r="L70" s="38">
        <f>'Stavební rozpočet'!L437</f>
        <v>145601.4</v>
      </c>
      <c r="M70" s="33" t="s">
        <v>129</v>
      </c>
      <c r="N70" s="35">
        <f t="shared" si="2"/>
        <v>145601.4</v>
      </c>
      <c r="O70" s="17" t="s">
        <v>65</v>
      </c>
      <c r="P70" s="35">
        <f t="shared" si="3"/>
        <v>0</v>
      </c>
    </row>
    <row r="71" spans="1:16">
      <c r="A71" s="25" t="s">
        <v>65</v>
      </c>
      <c r="B71" s="17" t="s">
        <v>162</v>
      </c>
      <c r="C71" s="115" t="s">
        <v>212</v>
      </c>
      <c r="D71" s="105"/>
      <c r="E71" s="105"/>
      <c r="F71" s="105"/>
      <c r="G71" s="105"/>
      <c r="H71" s="105"/>
      <c r="I71" s="105"/>
      <c r="J71" s="35">
        <f>'Stavební rozpočet'!J458</f>
        <v>0</v>
      </c>
      <c r="K71" s="35">
        <f>'Stavební rozpočet'!K458</f>
        <v>6541</v>
      </c>
      <c r="L71" s="38">
        <f>'Stavební rozpočet'!L458</f>
        <v>6541</v>
      </c>
      <c r="M71" s="33" t="s">
        <v>129</v>
      </c>
      <c r="N71" s="35">
        <f t="shared" si="2"/>
        <v>6541</v>
      </c>
      <c r="O71" s="17" t="s">
        <v>65</v>
      </c>
      <c r="P71" s="35">
        <f t="shared" si="3"/>
        <v>0</v>
      </c>
    </row>
    <row r="72" spans="1:16">
      <c r="A72" s="25" t="s">
        <v>66</v>
      </c>
      <c r="B72" s="17"/>
      <c r="C72" s="115" t="s">
        <v>82</v>
      </c>
      <c r="D72" s="105"/>
      <c r="E72" s="105"/>
      <c r="F72" s="105"/>
      <c r="G72" s="105"/>
      <c r="H72" s="105"/>
      <c r="I72" s="105"/>
      <c r="J72" s="35">
        <f>'Stavební rozpočet'!J464</f>
        <v>308988.90000000002</v>
      </c>
      <c r="K72" s="35">
        <f>'Stavební rozpočet'!K464</f>
        <v>185146</v>
      </c>
      <c r="L72" s="38">
        <f>'Stavební rozpočet'!L464</f>
        <v>494134.9</v>
      </c>
      <c r="M72" s="33" t="s">
        <v>96</v>
      </c>
      <c r="N72" s="35">
        <f t="shared" si="2"/>
        <v>0</v>
      </c>
      <c r="O72" s="17" t="s">
        <v>66</v>
      </c>
      <c r="P72" s="35">
        <f t="shared" si="3"/>
        <v>494134.9</v>
      </c>
    </row>
    <row r="73" spans="1:16">
      <c r="A73" s="25" t="s">
        <v>66</v>
      </c>
      <c r="B73" s="17" t="s">
        <v>161</v>
      </c>
      <c r="C73" s="115" t="s">
        <v>211</v>
      </c>
      <c r="D73" s="105"/>
      <c r="E73" s="105"/>
      <c r="F73" s="105"/>
      <c r="G73" s="105"/>
      <c r="H73" s="105"/>
      <c r="I73" s="105"/>
      <c r="J73" s="35">
        <f>'Stavební rozpočet'!J465</f>
        <v>308988.90000000002</v>
      </c>
      <c r="K73" s="35">
        <f>'Stavební rozpočet'!K465</f>
        <v>181514</v>
      </c>
      <c r="L73" s="38">
        <f>'Stavební rozpočet'!L465</f>
        <v>490502.9</v>
      </c>
      <c r="M73" s="33" t="s">
        <v>129</v>
      </c>
      <c r="N73" s="35">
        <f t="shared" si="2"/>
        <v>490502.9</v>
      </c>
      <c r="O73" s="17" t="s">
        <v>66</v>
      </c>
      <c r="P73" s="35">
        <f t="shared" si="3"/>
        <v>0</v>
      </c>
    </row>
    <row r="74" spans="1:16">
      <c r="A74" s="25" t="s">
        <v>66</v>
      </c>
      <c r="B74" s="17" t="s">
        <v>162</v>
      </c>
      <c r="C74" s="115" t="s">
        <v>212</v>
      </c>
      <c r="D74" s="105"/>
      <c r="E74" s="105"/>
      <c r="F74" s="105"/>
      <c r="G74" s="105"/>
      <c r="H74" s="105"/>
      <c r="I74" s="105"/>
      <c r="J74" s="35">
        <f>'Stavební rozpočet'!J491</f>
        <v>0</v>
      </c>
      <c r="K74" s="35">
        <f>'Stavební rozpočet'!K491</f>
        <v>3632</v>
      </c>
      <c r="L74" s="38">
        <f>'Stavební rozpočet'!L491</f>
        <v>3632</v>
      </c>
      <c r="M74" s="33" t="s">
        <v>129</v>
      </c>
      <c r="N74" s="35">
        <f t="shared" si="2"/>
        <v>3632</v>
      </c>
      <c r="O74" s="17" t="s">
        <v>66</v>
      </c>
      <c r="P74" s="35">
        <f t="shared" si="3"/>
        <v>0</v>
      </c>
    </row>
    <row r="75" spans="1:16">
      <c r="A75" s="25" t="s">
        <v>67</v>
      </c>
      <c r="B75" s="17"/>
      <c r="C75" s="115" t="s">
        <v>83</v>
      </c>
      <c r="D75" s="105"/>
      <c r="E75" s="105"/>
      <c r="F75" s="105"/>
      <c r="G75" s="105"/>
      <c r="H75" s="105"/>
      <c r="I75" s="105"/>
      <c r="J75" s="35">
        <f>'Stavební rozpočet'!J494</f>
        <v>77882.5</v>
      </c>
      <c r="K75" s="35">
        <f>'Stavební rozpočet'!K494</f>
        <v>41813</v>
      </c>
      <c r="L75" s="38">
        <f>'Stavební rozpočet'!L494</f>
        <v>119695.5</v>
      </c>
      <c r="M75" s="33" t="s">
        <v>96</v>
      </c>
      <c r="N75" s="35">
        <f t="shared" si="2"/>
        <v>0</v>
      </c>
      <c r="O75" s="17" t="s">
        <v>67</v>
      </c>
      <c r="P75" s="35">
        <f t="shared" si="3"/>
        <v>119695.5</v>
      </c>
    </row>
    <row r="76" spans="1:16">
      <c r="A76" s="25" t="s">
        <v>67</v>
      </c>
      <c r="B76" s="17" t="s">
        <v>161</v>
      </c>
      <c r="C76" s="115" t="s">
        <v>211</v>
      </c>
      <c r="D76" s="105"/>
      <c r="E76" s="105"/>
      <c r="F76" s="105"/>
      <c r="G76" s="105"/>
      <c r="H76" s="105"/>
      <c r="I76" s="105"/>
      <c r="J76" s="35">
        <f>'Stavební rozpočet'!J495</f>
        <v>77882.5</v>
      </c>
      <c r="K76" s="35">
        <f>'Stavební rozpočet'!K495</f>
        <v>39781</v>
      </c>
      <c r="L76" s="38">
        <f>'Stavební rozpočet'!L495</f>
        <v>117663.5</v>
      </c>
      <c r="M76" s="33" t="s">
        <v>129</v>
      </c>
      <c r="N76" s="35">
        <f t="shared" ref="N76:N107" si="4">IF(M76="F",0,L76)</f>
        <v>117663.5</v>
      </c>
      <c r="O76" s="17" t="s">
        <v>67</v>
      </c>
      <c r="P76" s="35">
        <f t="shared" ref="P76:P107" si="5">IF(M76="T",0,L76)</f>
        <v>0</v>
      </c>
    </row>
    <row r="77" spans="1:16">
      <c r="A77" s="25" t="s">
        <v>67</v>
      </c>
      <c r="B77" s="17" t="s">
        <v>162</v>
      </c>
      <c r="C77" s="115" t="s">
        <v>212</v>
      </c>
      <c r="D77" s="105"/>
      <c r="E77" s="105"/>
      <c r="F77" s="105"/>
      <c r="G77" s="105"/>
      <c r="H77" s="105"/>
      <c r="I77" s="105"/>
      <c r="J77" s="35">
        <f>'Stavební rozpočet'!J520</f>
        <v>0</v>
      </c>
      <c r="K77" s="35">
        <f>'Stavební rozpočet'!K520</f>
        <v>2032</v>
      </c>
      <c r="L77" s="38">
        <f>'Stavební rozpočet'!L520</f>
        <v>2032</v>
      </c>
      <c r="M77" s="33" t="s">
        <v>129</v>
      </c>
      <c r="N77" s="35">
        <f t="shared" si="4"/>
        <v>2032</v>
      </c>
      <c r="O77" s="17" t="s">
        <v>67</v>
      </c>
      <c r="P77" s="35">
        <f t="shared" si="5"/>
        <v>0</v>
      </c>
    </row>
    <row r="78" spans="1:16">
      <c r="A78" s="25" t="s">
        <v>68</v>
      </c>
      <c r="B78" s="17"/>
      <c r="C78" s="115" t="s">
        <v>84</v>
      </c>
      <c r="D78" s="105"/>
      <c r="E78" s="105"/>
      <c r="F78" s="105"/>
      <c r="G78" s="105"/>
      <c r="H78" s="105"/>
      <c r="I78" s="105"/>
      <c r="J78" s="35">
        <f>'Stavební rozpočet'!J523</f>
        <v>80</v>
      </c>
      <c r="K78" s="35">
        <f>'Stavební rozpočet'!K523</f>
        <v>249.70804000000001</v>
      </c>
      <c r="L78" s="38">
        <f>'Stavební rozpočet'!L523</f>
        <v>329.70804000000004</v>
      </c>
      <c r="M78" s="33" t="s">
        <v>96</v>
      </c>
      <c r="N78" s="35">
        <f t="shared" si="4"/>
        <v>0</v>
      </c>
      <c r="O78" s="17" t="s">
        <v>68</v>
      </c>
      <c r="P78" s="35">
        <f t="shared" si="5"/>
        <v>329.70804000000004</v>
      </c>
    </row>
    <row r="79" spans="1:16">
      <c r="A79" s="25" t="s">
        <v>68</v>
      </c>
      <c r="B79" s="17" t="s">
        <v>145</v>
      </c>
      <c r="C79" s="115" t="s">
        <v>196</v>
      </c>
      <c r="D79" s="105"/>
      <c r="E79" s="105"/>
      <c r="F79" s="105"/>
      <c r="G79" s="105"/>
      <c r="H79" s="105"/>
      <c r="I79" s="105"/>
      <c r="J79" s="35">
        <f>'Stavební rozpočet'!J524</f>
        <v>0</v>
      </c>
      <c r="K79" s="35">
        <f>'Stavební rozpočet'!K524</f>
        <v>0.90803999999999996</v>
      </c>
      <c r="L79" s="38">
        <f>'Stavební rozpočet'!L524</f>
        <v>0.90803999999999996</v>
      </c>
      <c r="M79" s="33" t="s">
        <v>129</v>
      </c>
      <c r="N79" s="35">
        <f t="shared" si="4"/>
        <v>0.90803999999999996</v>
      </c>
      <c r="O79" s="17" t="s">
        <v>68</v>
      </c>
      <c r="P79" s="35">
        <f t="shared" si="5"/>
        <v>0</v>
      </c>
    </row>
    <row r="80" spans="1:16">
      <c r="A80" s="25" t="s">
        <v>68</v>
      </c>
      <c r="B80" s="17" t="s">
        <v>163</v>
      </c>
      <c r="C80" s="115" t="s">
        <v>213</v>
      </c>
      <c r="D80" s="105"/>
      <c r="E80" s="105"/>
      <c r="F80" s="105"/>
      <c r="G80" s="105"/>
      <c r="H80" s="105"/>
      <c r="I80" s="105"/>
      <c r="J80" s="35">
        <f>'Stavební rozpočet'!J527</f>
        <v>80</v>
      </c>
      <c r="K80" s="35">
        <f>'Stavební rozpočet'!K527</f>
        <v>248.8</v>
      </c>
      <c r="L80" s="38">
        <f>'Stavební rozpočet'!L527</f>
        <v>328.8</v>
      </c>
      <c r="M80" s="33" t="s">
        <v>129</v>
      </c>
      <c r="N80" s="35">
        <f t="shared" si="4"/>
        <v>328.8</v>
      </c>
      <c r="O80" s="17" t="s">
        <v>68</v>
      </c>
      <c r="P80" s="35">
        <f t="shared" si="5"/>
        <v>0</v>
      </c>
    </row>
    <row r="81" spans="1:16">
      <c r="A81" s="25" t="s">
        <v>69</v>
      </c>
      <c r="B81" s="17"/>
      <c r="C81" s="115" t="s">
        <v>85</v>
      </c>
      <c r="D81" s="105"/>
      <c r="E81" s="105"/>
      <c r="F81" s="105"/>
      <c r="G81" s="105"/>
      <c r="H81" s="105"/>
      <c r="I81" s="105"/>
      <c r="J81" s="35">
        <f>'Stavební rozpočet'!J532</f>
        <v>4448.4650000000001</v>
      </c>
      <c r="K81" s="35">
        <f>'Stavební rozpočet'!K532</f>
        <v>322401.83980000002</v>
      </c>
      <c r="L81" s="38">
        <f>'Stavební rozpočet'!L532</f>
        <v>326850.3048000001</v>
      </c>
      <c r="M81" s="33" t="s">
        <v>96</v>
      </c>
      <c r="N81" s="35">
        <f t="shared" si="4"/>
        <v>0</v>
      </c>
      <c r="O81" s="17" t="s">
        <v>69</v>
      </c>
      <c r="P81" s="35">
        <f t="shared" si="5"/>
        <v>326850.3048000001</v>
      </c>
    </row>
    <row r="82" spans="1:16">
      <c r="A82" s="25" t="s">
        <v>69</v>
      </c>
      <c r="B82" s="17" t="s">
        <v>137</v>
      </c>
      <c r="C82" s="115" t="s">
        <v>188</v>
      </c>
      <c r="D82" s="105"/>
      <c r="E82" s="105"/>
      <c r="F82" s="105"/>
      <c r="G82" s="105"/>
      <c r="H82" s="105"/>
      <c r="I82" s="105"/>
      <c r="J82" s="35">
        <f>'Stavební rozpočet'!J533</f>
        <v>4374.665</v>
      </c>
      <c r="K82" s="35">
        <f>'Stavební rozpočet'!K533</f>
        <v>24521.519030000003</v>
      </c>
      <c r="L82" s="38">
        <f>'Stavební rozpočet'!L533</f>
        <v>28896.184030000004</v>
      </c>
      <c r="M82" s="33" t="s">
        <v>129</v>
      </c>
      <c r="N82" s="35">
        <f t="shared" si="4"/>
        <v>28896.184030000004</v>
      </c>
      <c r="O82" s="17" t="s">
        <v>69</v>
      </c>
      <c r="P82" s="35">
        <f t="shared" si="5"/>
        <v>0</v>
      </c>
    </row>
    <row r="83" spans="1:16">
      <c r="A83" s="25" t="s">
        <v>69</v>
      </c>
      <c r="B83" s="17" t="s">
        <v>142</v>
      </c>
      <c r="C83" s="115" t="s">
        <v>193</v>
      </c>
      <c r="D83" s="105"/>
      <c r="E83" s="105"/>
      <c r="F83" s="105"/>
      <c r="G83" s="105"/>
      <c r="H83" s="105"/>
      <c r="I83" s="105"/>
      <c r="J83" s="35">
        <f>'Stavební rozpočet'!J548</f>
        <v>0</v>
      </c>
      <c r="K83" s="35">
        <f>'Stavební rozpočet'!K548</f>
        <v>98700.712200000009</v>
      </c>
      <c r="L83" s="38">
        <f>'Stavební rozpočet'!L548</f>
        <v>98700.712200000009</v>
      </c>
      <c r="M83" s="33" t="s">
        <v>129</v>
      </c>
      <c r="N83" s="35">
        <f t="shared" si="4"/>
        <v>98700.712200000009</v>
      </c>
      <c r="O83" s="17" t="s">
        <v>69</v>
      </c>
      <c r="P83" s="35">
        <f t="shared" si="5"/>
        <v>0</v>
      </c>
    </row>
    <row r="84" spans="1:16">
      <c r="A84" s="25" t="s">
        <v>69</v>
      </c>
      <c r="B84" s="17" t="s">
        <v>145</v>
      </c>
      <c r="C84" s="115" t="s">
        <v>196</v>
      </c>
      <c r="D84" s="105"/>
      <c r="E84" s="105"/>
      <c r="F84" s="105"/>
      <c r="G84" s="105"/>
      <c r="H84" s="105"/>
      <c r="I84" s="105"/>
      <c r="J84" s="35">
        <f>'Stavební rozpočet'!J557</f>
        <v>0</v>
      </c>
      <c r="K84" s="35">
        <f>'Stavební rozpočet'!K557</f>
        <v>135140.60763000001</v>
      </c>
      <c r="L84" s="38">
        <f>'Stavební rozpočet'!L557</f>
        <v>135140.60763000001</v>
      </c>
      <c r="M84" s="33" t="s">
        <v>129</v>
      </c>
      <c r="N84" s="35">
        <f t="shared" si="4"/>
        <v>135140.60763000001</v>
      </c>
      <c r="O84" s="17" t="s">
        <v>69</v>
      </c>
      <c r="P84" s="35">
        <f t="shared" si="5"/>
        <v>0</v>
      </c>
    </row>
    <row r="85" spans="1:16">
      <c r="A85" s="25" t="s">
        <v>69</v>
      </c>
      <c r="B85" s="17" t="s">
        <v>151</v>
      </c>
      <c r="C85" s="115" t="s">
        <v>202</v>
      </c>
      <c r="D85" s="105"/>
      <c r="E85" s="105"/>
      <c r="F85" s="105"/>
      <c r="G85" s="105"/>
      <c r="H85" s="105"/>
      <c r="I85" s="105"/>
      <c r="J85" s="35">
        <f>'Stavební rozpočet'!J565</f>
        <v>73.8</v>
      </c>
      <c r="K85" s="35">
        <f>'Stavební rozpočet'!K565</f>
        <v>11249.538860000001</v>
      </c>
      <c r="L85" s="38">
        <f>'Stavební rozpočet'!L565</f>
        <v>11323.33886</v>
      </c>
      <c r="M85" s="33" t="s">
        <v>129</v>
      </c>
      <c r="N85" s="35">
        <f t="shared" si="4"/>
        <v>11323.33886</v>
      </c>
      <c r="O85" s="17" t="s">
        <v>69</v>
      </c>
      <c r="P85" s="35">
        <f t="shared" si="5"/>
        <v>0</v>
      </c>
    </row>
    <row r="86" spans="1:16">
      <c r="A86" s="25" t="s">
        <v>69</v>
      </c>
      <c r="B86" s="17" t="s">
        <v>154</v>
      </c>
      <c r="C86" s="115" t="s">
        <v>205</v>
      </c>
      <c r="D86" s="105"/>
      <c r="E86" s="105"/>
      <c r="F86" s="105"/>
      <c r="G86" s="105"/>
      <c r="H86" s="105"/>
      <c r="I86" s="105"/>
      <c r="J86" s="35">
        <f>'Stavební rozpočet'!J573</f>
        <v>0</v>
      </c>
      <c r="K86" s="35">
        <f>'Stavební rozpočet'!K573</f>
        <v>27690.654600000002</v>
      </c>
      <c r="L86" s="38">
        <f>'Stavební rozpočet'!L573</f>
        <v>27690.654600000002</v>
      </c>
      <c r="M86" s="33" t="s">
        <v>129</v>
      </c>
      <c r="N86" s="35">
        <f t="shared" si="4"/>
        <v>27690.654600000002</v>
      </c>
      <c r="O86" s="17" t="s">
        <v>69</v>
      </c>
      <c r="P86" s="35">
        <f t="shared" si="5"/>
        <v>0</v>
      </c>
    </row>
    <row r="87" spans="1:16">
      <c r="A87" s="25" t="s">
        <v>69</v>
      </c>
      <c r="B87" s="17" t="s">
        <v>164</v>
      </c>
      <c r="C87" s="115" t="s">
        <v>214</v>
      </c>
      <c r="D87" s="105"/>
      <c r="E87" s="105"/>
      <c r="F87" s="105"/>
      <c r="G87" s="105"/>
      <c r="H87" s="105"/>
      <c r="I87" s="105"/>
      <c r="J87" s="35">
        <f>'Stavební rozpočet'!J575</f>
        <v>0</v>
      </c>
      <c r="K87" s="35">
        <f>'Stavební rozpočet'!K575</f>
        <v>13710.06</v>
      </c>
      <c r="L87" s="38">
        <f>'Stavební rozpočet'!L575</f>
        <v>13710.06</v>
      </c>
      <c r="M87" s="33" t="s">
        <v>129</v>
      </c>
      <c r="N87" s="35">
        <f t="shared" si="4"/>
        <v>13710.06</v>
      </c>
      <c r="O87" s="17" t="s">
        <v>69</v>
      </c>
      <c r="P87" s="35">
        <f t="shared" si="5"/>
        <v>0</v>
      </c>
    </row>
    <row r="88" spans="1:16">
      <c r="A88" s="25" t="s">
        <v>69</v>
      </c>
      <c r="B88" s="17" t="s">
        <v>165</v>
      </c>
      <c r="C88" s="115" t="s">
        <v>215</v>
      </c>
      <c r="D88" s="105"/>
      <c r="E88" s="105"/>
      <c r="F88" s="105"/>
      <c r="G88" s="105"/>
      <c r="H88" s="105"/>
      <c r="I88" s="105"/>
      <c r="J88" s="35">
        <f>'Stavební rozpočet'!J577</f>
        <v>0</v>
      </c>
      <c r="K88" s="35">
        <f>'Stavební rozpočet'!K577</f>
        <v>2118.8704000000002</v>
      </c>
      <c r="L88" s="38">
        <f>'Stavební rozpočet'!L577</f>
        <v>2118.8704000000002</v>
      </c>
      <c r="M88" s="33" t="s">
        <v>129</v>
      </c>
      <c r="N88" s="35">
        <f t="shared" si="4"/>
        <v>2118.8704000000002</v>
      </c>
      <c r="O88" s="17" t="s">
        <v>69</v>
      </c>
      <c r="P88" s="35">
        <f t="shared" si="5"/>
        <v>0</v>
      </c>
    </row>
    <row r="89" spans="1:16">
      <c r="A89" s="25" t="s">
        <v>69</v>
      </c>
      <c r="B89" s="17" t="s">
        <v>166</v>
      </c>
      <c r="C89" s="115" t="s">
        <v>216</v>
      </c>
      <c r="D89" s="105"/>
      <c r="E89" s="105"/>
      <c r="F89" s="105"/>
      <c r="G89" s="105"/>
      <c r="H89" s="105"/>
      <c r="I89" s="105"/>
      <c r="J89" s="35">
        <f>'Stavební rozpočet'!J581</f>
        <v>0</v>
      </c>
      <c r="K89" s="35">
        <f>'Stavební rozpočet'!K581</f>
        <v>9269.8770800000002</v>
      </c>
      <c r="L89" s="38">
        <f>'Stavební rozpočet'!L581</f>
        <v>9269.8770800000002</v>
      </c>
      <c r="M89" s="33" t="s">
        <v>129</v>
      </c>
      <c r="N89" s="35">
        <f t="shared" si="4"/>
        <v>9269.8770800000002</v>
      </c>
      <c r="O89" s="17" t="s">
        <v>69</v>
      </c>
      <c r="P89" s="35">
        <f t="shared" si="5"/>
        <v>0</v>
      </c>
    </row>
    <row r="90" spans="1:16">
      <c r="A90" s="25" t="s">
        <v>70</v>
      </c>
      <c r="B90" s="17"/>
      <c r="C90" s="115" t="s">
        <v>86</v>
      </c>
      <c r="D90" s="105"/>
      <c r="E90" s="105"/>
      <c r="F90" s="105"/>
      <c r="G90" s="105"/>
      <c r="H90" s="105"/>
      <c r="I90" s="105"/>
      <c r="J90" s="35">
        <f>'Stavební rozpočet'!J587</f>
        <v>34586.556639999995</v>
      </c>
      <c r="K90" s="35">
        <f>'Stavební rozpočet'!K587</f>
        <v>411481.52672000002</v>
      </c>
      <c r="L90" s="38">
        <f>'Stavební rozpočet'!L587</f>
        <v>446068.08335999999</v>
      </c>
      <c r="M90" s="33" t="s">
        <v>96</v>
      </c>
      <c r="N90" s="35">
        <f t="shared" si="4"/>
        <v>0</v>
      </c>
      <c r="O90" s="17" t="s">
        <v>70</v>
      </c>
      <c r="P90" s="35">
        <f t="shared" si="5"/>
        <v>446068.08335999999</v>
      </c>
    </row>
    <row r="91" spans="1:16">
      <c r="A91" s="25" t="s">
        <v>70</v>
      </c>
      <c r="B91" s="17" t="s">
        <v>135</v>
      </c>
      <c r="C91" s="115" t="s">
        <v>186</v>
      </c>
      <c r="D91" s="105"/>
      <c r="E91" s="105"/>
      <c r="F91" s="105"/>
      <c r="G91" s="105"/>
      <c r="H91" s="105"/>
      <c r="I91" s="105"/>
      <c r="J91" s="35">
        <f>'Stavební rozpočet'!J588</f>
        <v>34586.556639999995</v>
      </c>
      <c r="K91" s="35">
        <f>'Stavební rozpočet'!K588</f>
        <v>155841.22902999999</v>
      </c>
      <c r="L91" s="38">
        <f>'Stavební rozpočet'!L588</f>
        <v>190427.78566999995</v>
      </c>
      <c r="M91" s="33" t="s">
        <v>129</v>
      </c>
      <c r="N91" s="35">
        <f t="shared" si="4"/>
        <v>190427.78566999995</v>
      </c>
      <c r="O91" s="17" t="s">
        <v>70</v>
      </c>
      <c r="P91" s="35">
        <f t="shared" si="5"/>
        <v>0</v>
      </c>
    </row>
    <row r="92" spans="1:16">
      <c r="A92" s="25" t="s">
        <v>70</v>
      </c>
      <c r="B92" s="17" t="s">
        <v>138</v>
      </c>
      <c r="C92" s="115" t="s">
        <v>189</v>
      </c>
      <c r="D92" s="105"/>
      <c r="E92" s="105"/>
      <c r="F92" s="105"/>
      <c r="G92" s="105"/>
      <c r="H92" s="105"/>
      <c r="I92" s="105"/>
      <c r="J92" s="35">
        <f>'Stavební rozpočet'!J596</f>
        <v>0</v>
      </c>
      <c r="K92" s="35">
        <f>'Stavební rozpočet'!K596</f>
        <v>255021.94900000002</v>
      </c>
      <c r="L92" s="38">
        <f>'Stavební rozpočet'!L596</f>
        <v>255021.94900000002</v>
      </c>
      <c r="M92" s="33" t="s">
        <v>129</v>
      </c>
      <c r="N92" s="35">
        <f t="shared" si="4"/>
        <v>255021.94900000002</v>
      </c>
      <c r="O92" s="17" t="s">
        <v>70</v>
      </c>
      <c r="P92" s="35">
        <f t="shared" si="5"/>
        <v>0</v>
      </c>
    </row>
    <row r="93" spans="1:16">
      <c r="A93" s="25" t="s">
        <v>70</v>
      </c>
      <c r="B93" s="17" t="s">
        <v>145</v>
      </c>
      <c r="C93" s="115" t="s">
        <v>196</v>
      </c>
      <c r="D93" s="105"/>
      <c r="E93" s="105"/>
      <c r="F93" s="105"/>
      <c r="G93" s="105"/>
      <c r="H93" s="105"/>
      <c r="I93" s="105"/>
      <c r="J93" s="35">
        <f>'Stavební rozpočet'!J604</f>
        <v>0</v>
      </c>
      <c r="K93" s="35">
        <f>'Stavební rozpočet'!K604</f>
        <v>618.34868999999992</v>
      </c>
      <c r="L93" s="38">
        <f>'Stavební rozpočet'!L604</f>
        <v>618.34868999999992</v>
      </c>
      <c r="M93" s="33" t="s">
        <v>129</v>
      </c>
      <c r="N93" s="35">
        <f t="shared" si="4"/>
        <v>618.34868999999992</v>
      </c>
      <c r="O93" s="17" t="s">
        <v>70</v>
      </c>
      <c r="P93" s="35">
        <f t="shared" si="5"/>
        <v>0</v>
      </c>
    </row>
    <row r="94" spans="1:16">
      <c r="A94" s="25" t="s">
        <v>71</v>
      </c>
      <c r="B94" s="17"/>
      <c r="C94" s="115" t="s">
        <v>87</v>
      </c>
      <c r="D94" s="105"/>
      <c r="E94" s="105"/>
      <c r="F94" s="105"/>
      <c r="G94" s="105"/>
      <c r="H94" s="105"/>
      <c r="I94" s="105"/>
      <c r="J94" s="35">
        <f>'Stavební rozpočet'!J609</f>
        <v>423615.95497499994</v>
      </c>
      <c r="K94" s="35">
        <f>'Stavební rozpočet'!K609</f>
        <v>999464.68573999987</v>
      </c>
      <c r="L94" s="38">
        <f>'Stavební rozpočet'!L609</f>
        <v>1423080.6407149998</v>
      </c>
      <c r="M94" s="33" t="s">
        <v>96</v>
      </c>
      <c r="N94" s="35">
        <f t="shared" si="4"/>
        <v>0</v>
      </c>
      <c r="O94" s="17" t="s">
        <v>71</v>
      </c>
      <c r="P94" s="35">
        <f t="shared" si="5"/>
        <v>1423080.6407149998</v>
      </c>
    </row>
    <row r="95" spans="1:16">
      <c r="A95" s="25" t="s">
        <v>71</v>
      </c>
      <c r="B95" s="17" t="s">
        <v>134</v>
      </c>
      <c r="C95" s="115" t="s">
        <v>185</v>
      </c>
      <c r="D95" s="105"/>
      <c r="E95" s="105"/>
      <c r="F95" s="105"/>
      <c r="G95" s="105"/>
      <c r="H95" s="105"/>
      <c r="I95" s="105"/>
      <c r="J95" s="35">
        <f>'Stavební rozpočet'!J610</f>
        <v>60947.040000000001</v>
      </c>
      <c r="K95" s="35">
        <f>'Stavební rozpočet'!K610</f>
        <v>117225.91</v>
      </c>
      <c r="L95" s="38">
        <f>'Stavební rozpočet'!L610</f>
        <v>178172.95</v>
      </c>
      <c r="M95" s="33" t="s">
        <v>129</v>
      </c>
      <c r="N95" s="35">
        <f t="shared" si="4"/>
        <v>178172.95</v>
      </c>
      <c r="O95" s="17" t="s">
        <v>71</v>
      </c>
      <c r="P95" s="35">
        <f t="shared" si="5"/>
        <v>0</v>
      </c>
    </row>
    <row r="96" spans="1:16">
      <c r="A96" s="25" t="s">
        <v>71</v>
      </c>
      <c r="B96" s="17" t="s">
        <v>142</v>
      </c>
      <c r="C96" s="115" t="s">
        <v>193</v>
      </c>
      <c r="D96" s="105"/>
      <c r="E96" s="105"/>
      <c r="F96" s="105"/>
      <c r="G96" s="105"/>
      <c r="H96" s="105"/>
      <c r="I96" s="105"/>
      <c r="J96" s="35">
        <f>'Stavební rozpočet'!J617</f>
        <v>0</v>
      </c>
      <c r="K96" s="35">
        <f>'Stavební rozpočet'!K617</f>
        <v>205.2</v>
      </c>
      <c r="L96" s="38">
        <f>'Stavební rozpočet'!L617</f>
        <v>205.2</v>
      </c>
      <c r="M96" s="33" t="s">
        <v>129</v>
      </c>
      <c r="N96" s="35">
        <f t="shared" si="4"/>
        <v>205.2</v>
      </c>
      <c r="O96" s="17" t="s">
        <v>71</v>
      </c>
      <c r="P96" s="35">
        <f t="shared" si="5"/>
        <v>0</v>
      </c>
    </row>
    <row r="97" spans="1:16">
      <c r="A97" s="25" t="s">
        <v>71</v>
      </c>
      <c r="B97" s="17" t="s">
        <v>143</v>
      </c>
      <c r="C97" s="115" t="s">
        <v>194</v>
      </c>
      <c r="D97" s="105"/>
      <c r="E97" s="105"/>
      <c r="F97" s="105"/>
      <c r="G97" s="105"/>
      <c r="H97" s="105"/>
      <c r="I97" s="105"/>
      <c r="J97" s="35">
        <f>'Stavební rozpočet'!J619</f>
        <v>0</v>
      </c>
      <c r="K97" s="35">
        <f>'Stavební rozpočet'!K619</f>
        <v>1024</v>
      </c>
      <c r="L97" s="38">
        <f>'Stavební rozpočet'!L619</f>
        <v>1024</v>
      </c>
      <c r="M97" s="33" t="s">
        <v>129</v>
      </c>
      <c r="N97" s="35">
        <f t="shared" si="4"/>
        <v>1024</v>
      </c>
      <c r="O97" s="17" t="s">
        <v>71</v>
      </c>
      <c r="P97" s="35">
        <f t="shared" si="5"/>
        <v>0</v>
      </c>
    </row>
    <row r="98" spans="1:16">
      <c r="A98" s="25" t="s">
        <v>71</v>
      </c>
      <c r="B98" s="17" t="s">
        <v>145</v>
      </c>
      <c r="C98" s="115" t="s">
        <v>196</v>
      </c>
      <c r="D98" s="105"/>
      <c r="E98" s="105"/>
      <c r="F98" s="105"/>
      <c r="G98" s="105"/>
      <c r="H98" s="105"/>
      <c r="I98" s="105"/>
      <c r="J98" s="35">
        <f>'Stavební rozpočet'!J622</f>
        <v>0</v>
      </c>
      <c r="K98" s="35">
        <f>'Stavební rozpočet'!K622</f>
        <v>43283.16</v>
      </c>
      <c r="L98" s="38">
        <f>'Stavební rozpočet'!L622</f>
        <v>43283.16</v>
      </c>
      <c r="M98" s="33" t="s">
        <v>129</v>
      </c>
      <c r="N98" s="35">
        <f t="shared" si="4"/>
        <v>43283.16</v>
      </c>
      <c r="O98" s="17" t="s">
        <v>71</v>
      </c>
      <c r="P98" s="35">
        <f t="shared" si="5"/>
        <v>0</v>
      </c>
    </row>
    <row r="99" spans="1:16">
      <c r="A99" s="25" t="s">
        <v>71</v>
      </c>
      <c r="B99" s="17" t="s">
        <v>146</v>
      </c>
      <c r="C99" s="115" t="s">
        <v>197</v>
      </c>
      <c r="D99" s="105"/>
      <c r="E99" s="105"/>
      <c r="F99" s="105"/>
      <c r="G99" s="105"/>
      <c r="H99" s="105"/>
      <c r="I99" s="105"/>
      <c r="J99" s="35">
        <f>'Stavební rozpočet'!J628</f>
        <v>92653.295624999999</v>
      </c>
      <c r="K99" s="35">
        <f>'Stavební rozpočet'!K628</f>
        <v>45610.227599999998</v>
      </c>
      <c r="L99" s="38">
        <f>'Stavební rozpočet'!L628</f>
        <v>138263.52322499998</v>
      </c>
      <c r="M99" s="33" t="s">
        <v>129</v>
      </c>
      <c r="N99" s="35">
        <f t="shared" si="4"/>
        <v>138263.52322499998</v>
      </c>
      <c r="O99" s="17" t="s">
        <v>71</v>
      </c>
      <c r="P99" s="35">
        <f t="shared" si="5"/>
        <v>0</v>
      </c>
    </row>
    <row r="100" spans="1:16">
      <c r="A100" s="25" t="s">
        <v>71</v>
      </c>
      <c r="B100" s="17" t="s">
        <v>151</v>
      </c>
      <c r="C100" s="115" t="s">
        <v>202</v>
      </c>
      <c r="D100" s="105"/>
      <c r="E100" s="105"/>
      <c r="F100" s="105"/>
      <c r="G100" s="105"/>
      <c r="H100" s="105"/>
      <c r="I100" s="105"/>
      <c r="J100" s="35">
        <f>'Stavební rozpočet'!J634</f>
        <v>24505.360000000001</v>
      </c>
      <c r="K100" s="35">
        <f>'Stavební rozpočet'!K634</f>
        <v>135178.52414000002</v>
      </c>
      <c r="L100" s="38">
        <f>'Stavební rozpočet'!L634</f>
        <v>159683.88414000001</v>
      </c>
      <c r="M100" s="33" t="s">
        <v>129</v>
      </c>
      <c r="N100" s="35">
        <f t="shared" si="4"/>
        <v>159683.88414000001</v>
      </c>
      <c r="O100" s="17" t="s">
        <v>71</v>
      </c>
      <c r="P100" s="35">
        <f t="shared" si="5"/>
        <v>0</v>
      </c>
    </row>
    <row r="101" spans="1:16">
      <c r="A101" s="25" t="s">
        <v>71</v>
      </c>
      <c r="B101" s="17" t="s">
        <v>154</v>
      </c>
      <c r="C101" s="115" t="s">
        <v>205</v>
      </c>
      <c r="D101" s="105"/>
      <c r="E101" s="105"/>
      <c r="F101" s="105"/>
      <c r="G101" s="105"/>
      <c r="H101" s="105"/>
      <c r="I101" s="105"/>
      <c r="J101" s="35">
        <f>'Stavební rozpočet'!J643</f>
        <v>0</v>
      </c>
      <c r="K101" s="35">
        <f>'Stavební rozpočet'!K643</f>
        <v>105701.96520000001</v>
      </c>
      <c r="L101" s="38">
        <f>'Stavební rozpočet'!L643</f>
        <v>105701.96520000001</v>
      </c>
      <c r="M101" s="33" t="s">
        <v>129</v>
      </c>
      <c r="N101" s="35">
        <f t="shared" si="4"/>
        <v>105701.96520000001</v>
      </c>
      <c r="O101" s="17" t="s">
        <v>71</v>
      </c>
      <c r="P101" s="35">
        <f t="shared" si="5"/>
        <v>0</v>
      </c>
    </row>
    <row r="102" spans="1:16">
      <c r="A102" s="25" t="s">
        <v>71</v>
      </c>
      <c r="B102" s="17" t="s">
        <v>164</v>
      </c>
      <c r="C102" s="115" t="s">
        <v>214</v>
      </c>
      <c r="D102" s="105"/>
      <c r="E102" s="105"/>
      <c r="F102" s="105"/>
      <c r="G102" s="105"/>
      <c r="H102" s="105"/>
      <c r="I102" s="105"/>
      <c r="J102" s="35">
        <f>'Stavební rozpočet'!J645</f>
        <v>0</v>
      </c>
      <c r="K102" s="35">
        <f>'Stavební rozpočet'!K645</f>
        <v>96083.520000000004</v>
      </c>
      <c r="L102" s="38">
        <f>'Stavební rozpočet'!L645</f>
        <v>96083.520000000004</v>
      </c>
      <c r="M102" s="33" t="s">
        <v>129</v>
      </c>
      <c r="N102" s="35">
        <f t="shared" si="4"/>
        <v>96083.520000000004</v>
      </c>
      <c r="O102" s="17" t="s">
        <v>71</v>
      </c>
      <c r="P102" s="35">
        <f t="shared" si="5"/>
        <v>0</v>
      </c>
    </row>
    <row r="103" spans="1:16">
      <c r="A103" s="25" t="s">
        <v>71</v>
      </c>
      <c r="B103" s="17" t="s">
        <v>167</v>
      </c>
      <c r="C103" s="115" t="s">
        <v>217</v>
      </c>
      <c r="D103" s="105"/>
      <c r="E103" s="105"/>
      <c r="F103" s="105"/>
      <c r="G103" s="105"/>
      <c r="H103" s="105"/>
      <c r="I103" s="105"/>
      <c r="J103" s="35">
        <f>'Stavební rozpočet'!J650</f>
        <v>0</v>
      </c>
      <c r="K103" s="35">
        <f>'Stavební rozpočet'!K650</f>
        <v>91111.23</v>
      </c>
      <c r="L103" s="38">
        <f>'Stavební rozpočet'!L650</f>
        <v>91111.23</v>
      </c>
      <c r="M103" s="33" t="s">
        <v>129</v>
      </c>
      <c r="N103" s="35">
        <f t="shared" si="4"/>
        <v>91111.23</v>
      </c>
      <c r="O103" s="17" t="s">
        <v>71</v>
      </c>
      <c r="P103" s="35">
        <f t="shared" si="5"/>
        <v>0</v>
      </c>
    </row>
    <row r="104" spans="1:16">
      <c r="A104" s="25" t="s">
        <v>71</v>
      </c>
      <c r="B104" s="17" t="s">
        <v>168</v>
      </c>
      <c r="C104" s="115" t="s">
        <v>218</v>
      </c>
      <c r="D104" s="105"/>
      <c r="E104" s="105"/>
      <c r="F104" s="105"/>
      <c r="G104" s="105"/>
      <c r="H104" s="105"/>
      <c r="I104" s="105"/>
      <c r="J104" s="35">
        <f>'Stavební rozpočet'!J662</f>
        <v>0</v>
      </c>
      <c r="K104" s="35">
        <f>'Stavební rozpočet'!K662</f>
        <v>886.95</v>
      </c>
      <c r="L104" s="38">
        <f>'Stavební rozpočet'!L662</f>
        <v>886.95</v>
      </c>
      <c r="M104" s="33" t="s">
        <v>129</v>
      </c>
      <c r="N104" s="35">
        <f t="shared" si="4"/>
        <v>886.95</v>
      </c>
      <c r="O104" s="17" t="s">
        <v>71</v>
      </c>
      <c r="P104" s="35">
        <f t="shared" si="5"/>
        <v>0</v>
      </c>
    </row>
    <row r="105" spans="1:16">
      <c r="A105" s="25" t="s">
        <v>71</v>
      </c>
      <c r="B105" s="17" t="s">
        <v>169</v>
      </c>
      <c r="C105" s="115" t="s">
        <v>219</v>
      </c>
      <c r="D105" s="105"/>
      <c r="E105" s="105"/>
      <c r="F105" s="105"/>
      <c r="G105" s="105"/>
      <c r="H105" s="105"/>
      <c r="I105" s="105"/>
      <c r="J105" s="35">
        <f>'Stavební rozpočet'!J664</f>
        <v>0</v>
      </c>
      <c r="K105" s="35">
        <f>'Stavební rozpočet'!K664</f>
        <v>96503.660999999993</v>
      </c>
      <c r="L105" s="38">
        <f>'Stavební rozpočet'!L664</f>
        <v>96503.660999999993</v>
      </c>
      <c r="M105" s="33" t="s">
        <v>129</v>
      </c>
      <c r="N105" s="35">
        <f t="shared" si="4"/>
        <v>96503.660999999993</v>
      </c>
      <c r="O105" s="17" t="s">
        <v>71</v>
      </c>
      <c r="P105" s="35">
        <f t="shared" si="5"/>
        <v>0</v>
      </c>
    </row>
    <row r="106" spans="1:16">
      <c r="A106" s="25" t="s">
        <v>71</v>
      </c>
      <c r="B106" s="17" t="s">
        <v>170</v>
      </c>
      <c r="C106" s="115" t="s">
        <v>220</v>
      </c>
      <c r="D106" s="105"/>
      <c r="E106" s="105"/>
      <c r="F106" s="105"/>
      <c r="G106" s="105"/>
      <c r="H106" s="105"/>
      <c r="I106" s="105"/>
      <c r="J106" s="35">
        <f>'Stavební rozpočet'!J670</f>
        <v>50403.880799999999</v>
      </c>
      <c r="K106" s="35">
        <f>'Stavební rozpočet'!K670</f>
        <v>56632.140000000007</v>
      </c>
      <c r="L106" s="38">
        <f>'Stavební rozpočet'!L670</f>
        <v>107036.0208</v>
      </c>
      <c r="M106" s="33" t="s">
        <v>129</v>
      </c>
      <c r="N106" s="35">
        <f t="shared" si="4"/>
        <v>107036.0208</v>
      </c>
      <c r="O106" s="17" t="s">
        <v>71</v>
      </c>
      <c r="P106" s="35">
        <f t="shared" si="5"/>
        <v>0</v>
      </c>
    </row>
    <row r="107" spans="1:16">
      <c r="A107" s="25" t="s">
        <v>71</v>
      </c>
      <c r="B107" s="17" t="s">
        <v>171</v>
      </c>
      <c r="C107" s="115" t="s">
        <v>221</v>
      </c>
      <c r="D107" s="105"/>
      <c r="E107" s="105"/>
      <c r="F107" s="105"/>
      <c r="G107" s="105"/>
      <c r="H107" s="105"/>
      <c r="I107" s="105"/>
      <c r="J107" s="35">
        <f>'Stavební rozpočet'!J676</f>
        <v>424.76</v>
      </c>
      <c r="K107" s="35">
        <f>'Stavební rozpočet'!K676</f>
        <v>7348</v>
      </c>
      <c r="L107" s="38">
        <f>'Stavební rozpočet'!L676</f>
        <v>7772.76</v>
      </c>
      <c r="M107" s="33" t="s">
        <v>129</v>
      </c>
      <c r="N107" s="35">
        <f t="shared" si="4"/>
        <v>7772.76</v>
      </c>
      <c r="O107" s="17" t="s">
        <v>71</v>
      </c>
      <c r="P107" s="35">
        <f t="shared" si="5"/>
        <v>0</v>
      </c>
    </row>
    <row r="108" spans="1:16">
      <c r="A108" s="25" t="s">
        <v>71</v>
      </c>
      <c r="B108" s="17" t="s">
        <v>172</v>
      </c>
      <c r="C108" s="115" t="s">
        <v>222</v>
      </c>
      <c r="D108" s="105"/>
      <c r="E108" s="105"/>
      <c r="F108" s="105"/>
      <c r="G108" s="105"/>
      <c r="H108" s="105"/>
      <c r="I108" s="105"/>
      <c r="J108" s="35">
        <f>'Stavební rozpočet'!J680</f>
        <v>49062.600000000006</v>
      </c>
      <c r="K108" s="35">
        <f>'Stavební rozpočet'!K680</f>
        <v>15132</v>
      </c>
      <c r="L108" s="38">
        <f>'Stavební rozpočet'!L680</f>
        <v>64194.600000000006</v>
      </c>
      <c r="M108" s="33" t="s">
        <v>129</v>
      </c>
      <c r="N108" s="35">
        <f t="shared" ref="N108:N139" si="6">IF(M108="F",0,L108)</f>
        <v>64194.600000000006</v>
      </c>
      <c r="O108" s="17" t="s">
        <v>71</v>
      </c>
      <c r="P108" s="35">
        <f t="shared" ref="P108:P122" si="7">IF(M108="T",0,L108)</f>
        <v>0</v>
      </c>
    </row>
    <row r="109" spans="1:16">
      <c r="A109" s="25" t="s">
        <v>71</v>
      </c>
      <c r="B109" s="17" t="s">
        <v>173</v>
      </c>
      <c r="C109" s="115" t="s">
        <v>223</v>
      </c>
      <c r="D109" s="105"/>
      <c r="E109" s="105"/>
      <c r="F109" s="105"/>
      <c r="G109" s="105"/>
      <c r="H109" s="105"/>
      <c r="I109" s="105"/>
      <c r="J109" s="35">
        <f>'Stavební rozpočet'!J685</f>
        <v>0</v>
      </c>
      <c r="K109" s="35">
        <f>'Stavební rozpočet'!K685</f>
        <v>53600.088000000003</v>
      </c>
      <c r="L109" s="38">
        <f>'Stavební rozpočet'!L685</f>
        <v>53600.088000000003</v>
      </c>
      <c r="M109" s="33" t="s">
        <v>129</v>
      </c>
      <c r="N109" s="35">
        <f t="shared" si="6"/>
        <v>53600.088000000003</v>
      </c>
      <c r="O109" s="17" t="s">
        <v>71</v>
      </c>
      <c r="P109" s="35">
        <f t="shared" si="7"/>
        <v>0</v>
      </c>
    </row>
    <row r="110" spans="1:16">
      <c r="A110" s="25" t="s">
        <v>71</v>
      </c>
      <c r="B110" s="17" t="s">
        <v>174</v>
      </c>
      <c r="C110" s="115" t="s">
        <v>224</v>
      </c>
      <c r="D110" s="105"/>
      <c r="E110" s="105"/>
      <c r="F110" s="105"/>
      <c r="G110" s="105"/>
      <c r="H110" s="105"/>
      <c r="I110" s="105"/>
      <c r="J110" s="35">
        <f>'Stavební rozpočet'!J690</f>
        <v>0</v>
      </c>
      <c r="K110" s="35">
        <f>'Stavební rozpočet'!K690</f>
        <v>6150.5860000000011</v>
      </c>
      <c r="L110" s="38">
        <f>'Stavební rozpočet'!L690</f>
        <v>6150.5860000000011</v>
      </c>
      <c r="M110" s="33" t="s">
        <v>129</v>
      </c>
      <c r="N110" s="35">
        <f t="shared" si="6"/>
        <v>6150.5860000000011</v>
      </c>
      <c r="O110" s="17" t="s">
        <v>71</v>
      </c>
      <c r="P110" s="35">
        <f t="shared" si="7"/>
        <v>0</v>
      </c>
    </row>
    <row r="111" spans="1:16">
      <c r="A111" s="25" t="s">
        <v>71</v>
      </c>
      <c r="B111" s="17" t="s">
        <v>175</v>
      </c>
      <c r="C111" s="115" t="s">
        <v>225</v>
      </c>
      <c r="D111" s="105"/>
      <c r="E111" s="105"/>
      <c r="F111" s="105"/>
      <c r="G111" s="105"/>
      <c r="H111" s="105"/>
      <c r="I111" s="105"/>
      <c r="J111" s="35">
        <f>'Stavební rozpočet'!J694</f>
        <v>0</v>
      </c>
      <c r="K111" s="35">
        <f>'Stavební rozpočet'!K694</f>
        <v>8862</v>
      </c>
      <c r="L111" s="38">
        <f>'Stavební rozpočet'!L694</f>
        <v>8862</v>
      </c>
      <c r="M111" s="33" t="s">
        <v>129</v>
      </c>
      <c r="N111" s="35">
        <f t="shared" si="6"/>
        <v>8862</v>
      </c>
      <c r="O111" s="17" t="s">
        <v>71</v>
      </c>
      <c r="P111" s="35">
        <f t="shared" si="7"/>
        <v>0</v>
      </c>
    </row>
    <row r="112" spans="1:16">
      <c r="A112" s="25" t="s">
        <v>71</v>
      </c>
      <c r="B112" s="17" t="s">
        <v>176</v>
      </c>
      <c r="C112" s="115" t="s">
        <v>226</v>
      </c>
      <c r="D112" s="105"/>
      <c r="E112" s="105"/>
      <c r="F112" s="105"/>
      <c r="G112" s="105"/>
      <c r="H112" s="105"/>
      <c r="I112" s="105"/>
      <c r="J112" s="35">
        <f>'Stavební rozpočet'!J696</f>
        <v>0</v>
      </c>
      <c r="K112" s="35">
        <f>'Stavební rozpočet'!K696</f>
        <v>3616.7999999999997</v>
      </c>
      <c r="L112" s="38">
        <f>'Stavební rozpočet'!L696</f>
        <v>3616.7999999999997</v>
      </c>
      <c r="M112" s="33" t="s">
        <v>129</v>
      </c>
      <c r="N112" s="35">
        <f t="shared" si="6"/>
        <v>3616.7999999999997</v>
      </c>
      <c r="O112" s="17" t="s">
        <v>71</v>
      </c>
      <c r="P112" s="35">
        <f t="shared" si="7"/>
        <v>0</v>
      </c>
    </row>
    <row r="113" spans="1:16">
      <c r="A113" s="25" t="s">
        <v>71</v>
      </c>
      <c r="B113" s="17" t="s">
        <v>177</v>
      </c>
      <c r="C113" s="115" t="s">
        <v>227</v>
      </c>
      <c r="D113" s="105"/>
      <c r="E113" s="105"/>
      <c r="F113" s="105"/>
      <c r="G113" s="105"/>
      <c r="H113" s="105"/>
      <c r="I113" s="105"/>
      <c r="J113" s="35">
        <f>'Stavební rozpočet'!J698</f>
        <v>67596.218550000005</v>
      </c>
      <c r="K113" s="35">
        <f>'Stavební rozpočet'!K698</f>
        <v>50937.582999999999</v>
      </c>
      <c r="L113" s="38">
        <f>'Stavební rozpočet'!L698</f>
        <v>118533.80155</v>
      </c>
      <c r="M113" s="33" t="s">
        <v>129</v>
      </c>
      <c r="N113" s="35">
        <f t="shared" si="6"/>
        <v>118533.80155</v>
      </c>
      <c r="O113" s="17" t="s">
        <v>71</v>
      </c>
      <c r="P113" s="35">
        <f t="shared" si="7"/>
        <v>0</v>
      </c>
    </row>
    <row r="114" spans="1:16">
      <c r="A114" s="25" t="s">
        <v>71</v>
      </c>
      <c r="B114" s="17" t="s">
        <v>178</v>
      </c>
      <c r="C114" s="115" t="s">
        <v>228</v>
      </c>
      <c r="D114" s="105"/>
      <c r="E114" s="105"/>
      <c r="F114" s="105"/>
      <c r="G114" s="105"/>
      <c r="H114" s="105"/>
      <c r="I114" s="105"/>
      <c r="J114" s="35">
        <f>'Stavební rozpočet'!J705</f>
        <v>0</v>
      </c>
      <c r="K114" s="35">
        <f>'Stavební rozpočet'!K705</f>
        <v>39676.340799999998</v>
      </c>
      <c r="L114" s="38">
        <f>'Stavební rozpočet'!L705</f>
        <v>39676.340799999998</v>
      </c>
      <c r="M114" s="33" t="s">
        <v>129</v>
      </c>
      <c r="N114" s="35">
        <f t="shared" si="6"/>
        <v>39676.340799999998</v>
      </c>
      <c r="O114" s="17" t="s">
        <v>71</v>
      </c>
      <c r="P114" s="35">
        <f t="shared" si="7"/>
        <v>0</v>
      </c>
    </row>
    <row r="115" spans="1:16">
      <c r="A115" s="25" t="s">
        <v>71</v>
      </c>
      <c r="B115" s="17" t="s">
        <v>179</v>
      </c>
      <c r="C115" s="115" t="s">
        <v>229</v>
      </c>
      <c r="D115" s="105"/>
      <c r="E115" s="105"/>
      <c r="F115" s="105"/>
      <c r="G115" s="105"/>
      <c r="H115" s="105"/>
      <c r="I115" s="105"/>
      <c r="J115" s="35">
        <f>'Stavební rozpočet'!J709</f>
        <v>2032.8</v>
      </c>
      <c r="K115" s="35">
        <f>'Stavební rozpočet'!K709</f>
        <v>2879.6</v>
      </c>
      <c r="L115" s="38">
        <f>'Stavební rozpočet'!L709</f>
        <v>4912.3999999999996</v>
      </c>
      <c r="M115" s="33" t="s">
        <v>129</v>
      </c>
      <c r="N115" s="35">
        <f t="shared" si="6"/>
        <v>4912.3999999999996</v>
      </c>
      <c r="O115" s="17" t="s">
        <v>71</v>
      </c>
      <c r="P115" s="35">
        <f t="shared" si="7"/>
        <v>0</v>
      </c>
    </row>
    <row r="116" spans="1:16">
      <c r="A116" s="25" t="s">
        <v>71</v>
      </c>
      <c r="B116" s="17" t="s">
        <v>180</v>
      </c>
      <c r="C116" s="115" t="s">
        <v>230</v>
      </c>
      <c r="D116" s="105"/>
      <c r="E116" s="105"/>
      <c r="F116" s="105"/>
      <c r="G116" s="105"/>
      <c r="H116" s="105"/>
      <c r="I116" s="105"/>
      <c r="J116" s="35">
        <f>'Stavební rozpočet'!J715</f>
        <v>75990</v>
      </c>
      <c r="K116" s="35">
        <f>'Stavební rozpočet'!K715</f>
        <v>15225</v>
      </c>
      <c r="L116" s="38">
        <f>'Stavební rozpočet'!L715</f>
        <v>91215</v>
      </c>
      <c r="M116" s="33" t="s">
        <v>129</v>
      </c>
      <c r="N116" s="35">
        <f t="shared" si="6"/>
        <v>91215</v>
      </c>
      <c r="O116" s="17" t="s">
        <v>71</v>
      </c>
      <c r="P116" s="35">
        <f t="shared" si="7"/>
        <v>0</v>
      </c>
    </row>
    <row r="117" spans="1:16">
      <c r="A117" s="25" t="s">
        <v>71</v>
      </c>
      <c r="B117" s="17" t="s">
        <v>181</v>
      </c>
      <c r="C117" s="115" t="s">
        <v>231</v>
      </c>
      <c r="D117" s="105"/>
      <c r="E117" s="105"/>
      <c r="F117" s="105"/>
      <c r="G117" s="105"/>
      <c r="H117" s="105"/>
      <c r="I117" s="105"/>
      <c r="J117" s="35">
        <f>'Stavební rozpočet'!J726</f>
        <v>0</v>
      </c>
      <c r="K117" s="35">
        <f>'Stavební rozpočet'!K726</f>
        <v>6590.2</v>
      </c>
      <c r="L117" s="38">
        <f>'Stavební rozpočet'!L726</f>
        <v>6590.2</v>
      </c>
      <c r="M117" s="33" t="s">
        <v>129</v>
      </c>
      <c r="N117" s="35">
        <f t="shared" si="6"/>
        <v>6590.2</v>
      </c>
      <c r="O117" s="17" t="s">
        <v>71</v>
      </c>
      <c r="P117" s="35">
        <f t="shared" si="7"/>
        <v>0</v>
      </c>
    </row>
    <row r="118" spans="1:16">
      <c r="A118" s="25" t="s">
        <v>72</v>
      </c>
      <c r="B118" s="17"/>
      <c r="C118" s="115" t="s">
        <v>88</v>
      </c>
      <c r="D118" s="105"/>
      <c r="E118" s="105"/>
      <c r="F118" s="105"/>
      <c r="G118" s="105"/>
      <c r="H118" s="105"/>
      <c r="I118" s="105"/>
      <c r="J118" s="35">
        <f>'Stavební rozpočet'!J730</f>
        <v>63002</v>
      </c>
      <c r="K118" s="35">
        <f>'Stavební rozpočet'!K730</f>
        <v>38267.199999999997</v>
      </c>
      <c r="L118" s="38">
        <f>'Stavební rozpočet'!L730</f>
        <v>101269.2</v>
      </c>
      <c r="M118" s="33" t="s">
        <v>96</v>
      </c>
      <c r="N118" s="35">
        <f t="shared" si="6"/>
        <v>0</v>
      </c>
      <c r="O118" s="17" t="s">
        <v>72</v>
      </c>
      <c r="P118" s="35">
        <f t="shared" si="7"/>
        <v>101269.2</v>
      </c>
    </row>
    <row r="119" spans="1:16">
      <c r="A119" s="25" t="s">
        <v>72</v>
      </c>
      <c r="B119" s="17" t="s">
        <v>161</v>
      </c>
      <c r="C119" s="115" t="s">
        <v>211</v>
      </c>
      <c r="D119" s="105"/>
      <c r="E119" s="105"/>
      <c r="F119" s="105"/>
      <c r="G119" s="105"/>
      <c r="H119" s="105"/>
      <c r="I119" s="105"/>
      <c r="J119" s="35">
        <f>'Stavební rozpočet'!J731</f>
        <v>63002</v>
      </c>
      <c r="K119" s="35">
        <f>'Stavební rozpočet'!K731</f>
        <v>33987.199999999997</v>
      </c>
      <c r="L119" s="38">
        <f>'Stavební rozpočet'!L731</f>
        <v>96989.2</v>
      </c>
      <c r="M119" s="33" t="s">
        <v>129</v>
      </c>
      <c r="N119" s="35">
        <f t="shared" si="6"/>
        <v>96989.2</v>
      </c>
      <c r="O119" s="17" t="s">
        <v>72</v>
      </c>
      <c r="P119" s="35">
        <f t="shared" si="7"/>
        <v>0</v>
      </c>
    </row>
    <row r="120" spans="1:16">
      <c r="A120" s="25" t="s">
        <v>72</v>
      </c>
      <c r="B120" s="17" t="s">
        <v>162</v>
      </c>
      <c r="C120" s="115" t="s">
        <v>212</v>
      </c>
      <c r="D120" s="105"/>
      <c r="E120" s="105"/>
      <c r="F120" s="105"/>
      <c r="G120" s="105"/>
      <c r="H120" s="105"/>
      <c r="I120" s="105"/>
      <c r="J120" s="35">
        <f>'Stavební rozpočet'!J754</f>
        <v>0</v>
      </c>
      <c r="K120" s="35">
        <f>'Stavební rozpočet'!K754</f>
        <v>4280</v>
      </c>
      <c r="L120" s="38">
        <f>'Stavební rozpočet'!L754</f>
        <v>4280</v>
      </c>
      <c r="M120" s="33" t="s">
        <v>129</v>
      </c>
      <c r="N120" s="35">
        <f t="shared" si="6"/>
        <v>4280</v>
      </c>
      <c r="O120" s="17" t="s">
        <v>72</v>
      </c>
      <c r="P120" s="35">
        <f t="shared" si="7"/>
        <v>0</v>
      </c>
    </row>
    <row r="121" spans="1:16">
      <c r="A121" s="25" t="s">
        <v>73</v>
      </c>
      <c r="B121" s="17"/>
      <c r="C121" s="115" t="s">
        <v>89</v>
      </c>
      <c r="D121" s="105"/>
      <c r="E121" s="105"/>
      <c r="F121" s="105"/>
      <c r="G121" s="105"/>
      <c r="H121" s="105"/>
      <c r="I121" s="105"/>
      <c r="J121" s="35">
        <f>'Stavební rozpočet'!J757</f>
        <v>0</v>
      </c>
      <c r="K121" s="35">
        <f>'Stavební rozpočet'!K757</f>
        <v>146880</v>
      </c>
      <c r="L121" s="38">
        <f>'Stavební rozpočet'!L757</f>
        <v>146880</v>
      </c>
      <c r="M121" s="33" t="s">
        <v>96</v>
      </c>
      <c r="N121" s="35">
        <f t="shared" si="6"/>
        <v>0</v>
      </c>
      <c r="O121" s="17" t="s">
        <v>73</v>
      </c>
      <c r="P121" s="35">
        <f t="shared" si="7"/>
        <v>146880</v>
      </c>
    </row>
    <row r="122" spans="1:16">
      <c r="A122" s="26" t="s">
        <v>73</v>
      </c>
      <c r="B122" s="29" t="s">
        <v>73</v>
      </c>
      <c r="C122" s="154" t="s">
        <v>232</v>
      </c>
      <c r="D122" s="117"/>
      <c r="E122" s="117"/>
      <c r="F122" s="117"/>
      <c r="G122" s="117"/>
      <c r="H122" s="117"/>
      <c r="I122" s="117"/>
      <c r="J122" s="36">
        <f>'Stavební rozpočet'!J758</f>
        <v>0</v>
      </c>
      <c r="K122" s="36">
        <f>'Stavební rozpočet'!K758</f>
        <v>146880</v>
      </c>
      <c r="L122" s="39">
        <f>'Stavební rozpočet'!L758</f>
        <v>146880</v>
      </c>
      <c r="M122" s="33" t="s">
        <v>129</v>
      </c>
      <c r="N122" s="35">
        <f t="shared" si="6"/>
        <v>146880</v>
      </c>
      <c r="O122" s="17" t="s">
        <v>73</v>
      </c>
      <c r="P122" s="35">
        <f t="shared" si="7"/>
        <v>0</v>
      </c>
    </row>
    <row r="123" spans="1:16">
      <c r="A123" s="5"/>
      <c r="B123" s="5"/>
      <c r="C123" s="5"/>
      <c r="D123" s="5"/>
      <c r="E123" s="5"/>
      <c r="F123" s="5"/>
      <c r="G123" s="5"/>
      <c r="H123" s="5"/>
      <c r="I123" s="5"/>
      <c r="J123" s="155" t="s">
        <v>94</v>
      </c>
      <c r="K123" s="107"/>
      <c r="L123" s="40">
        <f>SUM(N12:N122)</f>
        <v>8052118.4692350039</v>
      </c>
    </row>
    <row r="124" spans="1:16" ht="11.25" customHeight="1">
      <c r="A124" s="27" t="s">
        <v>18</v>
      </c>
    </row>
    <row r="125" spans="1:16">
      <c r="A125" s="113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</sheetData>
  <mergeCells count="141">
    <mergeCell ref="J123:K123"/>
    <mergeCell ref="A125:L125"/>
    <mergeCell ref="C117:I117"/>
    <mergeCell ref="C118:I118"/>
    <mergeCell ref="C119:I119"/>
    <mergeCell ref="C120:I120"/>
    <mergeCell ref="C121:I121"/>
    <mergeCell ref="C122:I122"/>
    <mergeCell ref="C111:I111"/>
    <mergeCell ref="C112:I112"/>
    <mergeCell ref="C113:I113"/>
    <mergeCell ref="C114:I114"/>
    <mergeCell ref="C115:I115"/>
    <mergeCell ref="C116:I116"/>
    <mergeCell ref="C105:I105"/>
    <mergeCell ref="C106:I106"/>
    <mergeCell ref="C107:I107"/>
    <mergeCell ref="C108:I108"/>
    <mergeCell ref="C109:I109"/>
    <mergeCell ref="C110:I110"/>
    <mergeCell ref="C99:I99"/>
    <mergeCell ref="C100:I100"/>
    <mergeCell ref="C101:I101"/>
    <mergeCell ref="C102:I102"/>
    <mergeCell ref="C103:I103"/>
    <mergeCell ref="C104:I104"/>
    <mergeCell ref="C93:I93"/>
    <mergeCell ref="C94:I94"/>
    <mergeCell ref="C95:I95"/>
    <mergeCell ref="C96:I96"/>
    <mergeCell ref="C97:I97"/>
    <mergeCell ref="C98:I98"/>
    <mergeCell ref="C87:I87"/>
    <mergeCell ref="C88:I88"/>
    <mergeCell ref="C89:I89"/>
    <mergeCell ref="C90:I90"/>
    <mergeCell ref="C91:I91"/>
    <mergeCell ref="C92:I92"/>
    <mergeCell ref="C81:I81"/>
    <mergeCell ref="C82:I82"/>
    <mergeCell ref="C83:I83"/>
    <mergeCell ref="C84:I84"/>
    <mergeCell ref="C85:I85"/>
    <mergeCell ref="C86:I86"/>
    <mergeCell ref="C75:I75"/>
    <mergeCell ref="C76:I76"/>
    <mergeCell ref="C77:I77"/>
    <mergeCell ref="C78:I78"/>
    <mergeCell ref="C79:I79"/>
    <mergeCell ref="C80:I80"/>
    <mergeCell ref="C69:I69"/>
    <mergeCell ref="C70:I70"/>
    <mergeCell ref="C71:I71"/>
    <mergeCell ref="C72:I72"/>
    <mergeCell ref="C73:I73"/>
    <mergeCell ref="C74:I74"/>
    <mergeCell ref="C63:I63"/>
    <mergeCell ref="C64:I64"/>
    <mergeCell ref="C65:I65"/>
    <mergeCell ref="C66:I66"/>
    <mergeCell ref="C67:I67"/>
    <mergeCell ref="C68:I68"/>
    <mergeCell ref="C57:I57"/>
    <mergeCell ref="C58:I58"/>
    <mergeCell ref="C59:I59"/>
    <mergeCell ref="C60:I60"/>
    <mergeCell ref="C61:I61"/>
    <mergeCell ref="C62:I62"/>
    <mergeCell ref="C51:I51"/>
    <mergeCell ref="C52:I52"/>
    <mergeCell ref="C53:I53"/>
    <mergeCell ref="C54:I54"/>
    <mergeCell ref="C55:I55"/>
    <mergeCell ref="C56:I56"/>
    <mergeCell ref="C45:I45"/>
    <mergeCell ref="C46:I46"/>
    <mergeCell ref="C47:I47"/>
    <mergeCell ref="C48:I48"/>
    <mergeCell ref="C49:I49"/>
    <mergeCell ref="C50:I50"/>
    <mergeCell ref="C39:I39"/>
    <mergeCell ref="C40:I40"/>
    <mergeCell ref="C41:I41"/>
    <mergeCell ref="C42:I42"/>
    <mergeCell ref="C43:I43"/>
    <mergeCell ref="C44:I44"/>
    <mergeCell ref="C33:I33"/>
    <mergeCell ref="C34:I34"/>
    <mergeCell ref="C35:I35"/>
    <mergeCell ref="C36:I36"/>
    <mergeCell ref="C37:I37"/>
    <mergeCell ref="C38:I38"/>
    <mergeCell ref="C27:I27"/>
    <mergeCell ref="C28:I28"/>
    <mergeCell ref="C29:I29"/>
    <mergeCell ref="C30:I30"/>
    <mergeCell ref="C31:I31"/>
    <mergeCell ref="C32:I32"/>
    <mergeCell ref="C21:I21"/>
    <mergeCell ref="C22:I22"/>
    <mergeCell ref="C23:I23"/>
    <mergeCell ref="C24:I24"/>
    <mergeCell ref="C25:I25"/>
    <mergeCell ref="C26:I26"/>
    <mergeCell ref="C15:I15"/>
    <mergeCell ref="C16:I16"/>
    <mergeCell ref="C17:I17"/>
    <mergeCell ref="C18:I18"/>
    <mergeCell ref="C19:I19"/>
    <mergeCell ref="C20:I20"/>
    <mergeCell ref="C10:I10"/>
    <mergeCell ref="J10:L10"/>
    <mergeCell ref="C11:I11"/>
    <mergeCell ref="C12:I12"/>
    <mergeCell ref="C13:I13"/>
    <mergeCell ref="C14:I14"/>
    <mergeCell ref="A8:C9"/>
    <mergeCell ref="D8:F9"/>
    <mergeCell ref="G8:G9"/>
    <mergeCell ref="H8:H9"/>
    <mergeCell ref="I8:I9"/>
    <mergeCell ref="J8:L9"/>
    <mergeCell ref="A6:C7"/>
    <mergeCell ref="D6:F7"/>
    <mergeCell ref="G6:G7"/>
    <mergeCell ref="H6:H7"/>
    <mergeCell ref="I6:I7"/>
    <mergeCell ref="J6:L7"/>
    <mergeCell ref="A4:C5"/>
    <mergeCell ref="D4:F5"/>
    <mergeCell ref="G4:G5"/>
    <mergeCell ref="H4:H5"/>
    <mergeCell ref="I4:I5"/>
    <mergeCell ref="J4:L5"/>
    <mergeCell ref="A1:L1"/>
    <mergeCell ref="A2:C3"/>
    <mergeCell ref="D2:F3"/>
    <mergeCell ref="G2:G3"/>
    <mergeCell ref="H2:H3"/>
    <mergeCell ref="I2:I3"/>
    <mergeCell ref="J2:L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770"/>
  <sheetViews>
    <sheetView workbookViewId="0">
      <pane ySplit="11" topLeftCell="A12" activePane="bottomLeft" state="frozenSplit"/>
      <selection pane="bottomLeft" sqref="A1:M1"/>
    </sheetView>
  </sheetViews>
  <sheetFormatPr defaultColWidth="11.5703125" defaultRowHeight="12.75"/>
  <cols>
    <col min="1" max="1" width="3.7109375" customWidth="1"/>
    <col min="2" max="2" width="7.5703125" customWidth="1"/>
    <col min="3" max="3" width="14.28515625" customWidth="1"/>
    <col min="4" max="4" width="67.5703125" customWidth="1"/>
    <col min="7" max="7" width="8.85546875" customWidth="1"/>
    <col min="8" max="8" width="12.85546875" customWidth="1"/>
    <col min="9" max="9" width="12" customWidth="1"/>
    <col min="10" max="12" width="14.28515625" customWidth="1"/>
    <col min="13" max="13" width="15" customWidth="1"/>
    <col min="25" max="64" width="12.140625" hidden="1" customWidth="1"/>
  </cols>
  <sheetData>
    <row r="1" spans="1:64" ht="72.95" customHeight="1">
      <c r="A1" s="139" t="s">
        <v>233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64">
      <c r="A2" s="102" t="s">
        <v>0</v>
      </c>
      <c r="B2" s="103"/>
      <c r="C2" s="103"/>
      <c r="D2" s="106" t="s">
        <v>1117</v>
      </c>
      <c r="E2" s="156" t="s">
        <v>90</v>
      </c>
      <c r="F2" s="103"/>
      <c r="G2" s="156" t="s">
        <v>57</v>
      </c>
      <c r="H2" s="103"/>
      <c r="I2" s="109" t="s">
        <v>29</v>
      </c>
      <c r="J2" s="109" t="s">
        <v>1652</v>
      </c>
      <c r="K2" s="103"/>
      <c r="L2" s="103"/>
      <c r="M2" s="140"/>
      <c r="N2" s="19"/>
    </row>
    <row r="3" spans="1:64">
      <c r="A3" s="104"/>
      <c r="B3" s="105"/>
      <c r="C3" s="105"/>
      <c r="D3" s="108"/>
      <c r="E3" s="105"/>
      <c r="F3" s="105"/>
      <c r="G3" s="105"/>
      <c r="H3" s="105"/>
      <c r="I3" s="105"/>
      <c r="J3" s="105"/>
      <c r="K3" s="105"/>
      <c r="L3" s="105"/>
      <c r="M3" s="111"/>
      <c r="N3" s="19"/>
    </row>
    <row r="4" spans="1:64">
      <c r="A4" s="112" t="s">
        <v>1</v>
      </c>
      <c r="B4" s="105"/>
      <c r="C4" s="105"/>
      <c r="D4" s="113" t="s">
        <v>1118</v>
      </c>
      <c r="E4" s="115" t="s">
        <v>3</v>
      </c>
      <c r="F4" s="105"/>
      <c r="G4" s="115" t="s">
        <v>57</v>
      </c>
      <c r="H4" s="105"/>
      <c r="I4" s="113" t="s">
        <v>30</v>
      </c>
      <c r="J4" s="113" t="s">
        <v>1653</v>
      </c>
      <c r="K4" s="105"/>
      <c r="L4" s="105"/>
      <c r="M4" s="111"/>
      <c r="N4" s="19"/>
    </row>
    <row r="5" spans="1:64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11"/>
      <c r="N5" s="19"/>
    </row>
    <row r="6" spans="1:64">
      <c r="A6" s="112" t="s">
        <v>2</v>
      </c>
      <c r="B6" s="105"/>
      <c r="C6" s="105"/>
      <c r="D6" s="113" t="s">
        <v>1119</v>
      </c>
      <c r="E6" s="115" t="s">
        <v>32</v>
      </c>
      <c r="F6" s="105"/>
      <c r="G6" s="115" t="s">
        <v>57</v>
      </c>
      <c r="H6" s="105"/>
      <c r="I6" s="113" t="s">
        <v>31</v>
      </c>
      <c r="J6" s="115" t="s">
        <v>1654</v>
      </c>
      <c r="K6" s="105"/>
      <c r="L6" s="105"/>
      <c r="M6" s="111"/>
      <c r="N6" s="19"/>
    </row>
    <row r="7" spans="1:64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11"/>
      <c r="N7" s="19"/>
    </row>
    <row r="8" spans="1:64">
      <c r="A8" s="112" t="s">
        <v>4</v>
      </c>
      <c r="B8" s="105"/>
      <c r="C8" s="105"/>
      <c r="D8" s="113" t="s">
        <v>57</v>
      </c>
      <c r="E8" s="115" t="s">
        <v>91</v>
      </c>
      <c r="F8" s="105"/>
      <c r="G8" s="115" t="s">
        <v>1629</v>
      </c>
      <c r="H8" s="105"/>
      <c r="I8" s="113" t="s">
        <v>33</v>
      </c>
      <c r="J8" s="115" t="s">
        <v>1654</v>
      </c>
      <c r="K8" s="105"/>
      <c r="L8" s="105"/>
      <c r="M8" s="111"/>
      <c r="N8" s="19"/>
    </row>
    <row r="9" spans="1:64">
      <c r="A9" s="141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3"/>
      <c r="N9" s="19"/>
    </row>
    <row r="10" spans="1:64">
      <c r="A10" s="43" t="s">
        <v>234</v>
      </c>
      <c r="B10" s="51" t="s">
        <v>58</v>
      </c>
      <c r="C10" s="51" t="s">
        <v>98</v>
      </c>
      <c r="D10" s="157" t="s">
        <v>1120</v>
      </c>
      <c r="E10" s="158"/>
      <c r="F10" s="159"/>
      <c r="G10" s="51" t="s">
        <v>1630</v>
      </c>
      <c r="H10" s="63" t="s">
        <v>1649</v>
      </c>
      <c r="I10" s="67" t="s">
        <v>1650</v>
      </c>
      <c r="J10" s="147" t="s">
        <v>92</v>
      </c>
      <c r="K10" s="148"/>
      <c r="L10" s="149"/>
      <c r="M10" s="69" t="s">
        <v>1655</v>
      </c>
      <c r="N10" s="20"/>
      <c r="BK10" s="77" t="s">
        <v>1789</v>
      </c>
      <c r="BL10" s="81" t="s">
        <v>1791</v>
      </c>
    </row>
    <row r="11" spans="1:64">
      <c r="A11" s="44" t="s">
        <v>57</v>
      </c>
      <c r="B11" s="52" t="s">
        <v>57</v>
      </c>
      <c r="C11" s="52" t="s">
        <v>57</v>
      </c>
      <c r="D11" s="150" t="s">
        <v>1121</v>
      </c>
      <c r="E11" s="151"/>
      <c r="F11" s="160"/>
      <c r="G11" s="52" t="s">
        <v>57</v>
      </c>
      <c r="H11" s="52" t="s">
        <v>57</v>
      </c>
      <c r="I11" s="68" t="s">
        <v>1651</v>
      </c>
      <c r="J11" s="30" t="s">
        <v>93</v>
      </c>
      <c r="K11" s="31" t="s">
        <v>21</v>
      </c>
      <c r="L11" s="32" t="s">
        <v>95</v>
      </c>
      <c r="M11" s="70" t="s">
        <v>1656</v>
      </c>
      <c r="N11" s="20"/>
      <c r="Z11" s="77" t="s">
        <v>1661</v>
      </c>
      <c r="AA11" s="77" t="s">
        <v>1662</v>
      </c>
      <c r="AB11" s="77" t="s">
        <v>1663</v>
      </c>
      <c r="AC11" s="77" t="s">
        <v>1664</v>
      </c>
      <c r="AD11" s="77" t="s">
        <v>1665</v>
      </c>
      <c r="AE11" s="77" t="s">
        <v>1666</v>
      </c>
      <c r="AF11" s="77" t="s">
        <v>1667</v>
      </c>
      <c r="AG11" s="77" t="s">
        <v>1668</v>
      </c>
      <c r="AH11" s="77" t="s">
        <v>1669</v>
      </c>
      <c r="BH11" s="77" t="s">
        <v>1786</v>
      </c>
      <c r="BI11" s="77" t="s">
        <v>1787</v>
      </c>
      <c r="BJ11" s="77" t="s">
        <v>1788</v>
      </c>
    </row>
    <row r="12" spans="1:64">
      <c r="A12" s="45"/>
      <c r="B12" s="53" t="s">
        <v>59</v>
      </c>
      <c r="C12" s="53"/>
      <c r="D12" s="161" t="s">
        <v>75</v>
      </c>
      <c r="E12" s="162"/>
      <c r="F12" s="162"/>
      <c r="G12" s="60" t="s">
        <v>57</v>
      </c>
      <c r="H12" s="60" t="s">
        <v>57</v>
      </c>
      <c r="I12" s="60" t="s">
        <v>57</v>
      </c>
      <c r="J12" s="82">
        <f>J13+J18+J21+J23+J50+J61+J79+J86+J88+J100+J109+J111+J114+J117+J121</f>
        <v>119424.8</v>
      </c>
      <c r="K12" s="82">
        <f>K13+K18+K21+K23+K50+K61+K79+K86+K88+K100+K109+K111+K114+K117+K121</f>
        <v>2151791.9663899997</v>
      </c>
      <c r="L12" s="82">
        <f>L13+L18+L21+L23+L50+L61+L79+L86+L88+L100+L109+L111+L114+L117+L121</f>
        <v>2271216.76639</v>
      </c>
      <c r="M12" s="71"/>
      <c r="N12" s="19"/>
    </row>
    <row r="13" spans="1:64">
      <c r="A13" s="46"/>
      <c r="B13" s="54" t="s">
        <v>59</v>
      </c>
      <c r="C13" s="54" t="s">
        <v>131</v>
      </c>
      <c r="D13" s="163" t="s">
        <v>182</v>
      </c>
      <c r="E13" s="164"/>
      <c r="F13" s="164"/>
      <c r="G13" s="61" t="s">
        <v>57</v>
      </c>
      <c r="H13" s="61" t="s">
        <v>57</v>
      </c>
      <c r="I13" s="61" t="s">
        <v>57</v>
      </c>
      <c r="J13" s="83">
        <f>SUM(J14:J16)</f>
        <v>0</v>
      </c>
      <c r="K13" s="83">
        <f>SUM(K14:K16)</f>
        <v>538</v>
      </c>
      <c r="L13" s="83">
        <f>SUM(L14:L16)</f>
        <v>538</v>
      </c>
      <c r="M13" s="72"/>
      <c r="N13" s="19"/>
      <c r="AI13" s="77" t="s">
        <v>59</v>
      </c>
      <c r="AS13" s="83">
        <f>SUM(AJ14:AJ16)</f>
        <v>0</v>
      </c>
      <c r="AT13" s="83">
        <f>SUM(AK14:AK16)</f>
        <v>0</v>
      </c>
      <c r="AU13" s="83">
        <f>SUM(AL14:AL16)</f>
        <v>538</v>
      </c>
    </row>
    <row r="14" spans="1:64">
      <c r="A14" s="47" t="s">
        <v>109</v>
      </c>
      <c r="B14" s="55" t="s">
        <v>59</v>
      </c>
      <c r="C14" s="55" t="s">
        <v>729</v>
      </c>
      <c r="D14" s="165" t="s">
        <v>1122</v>
      </c>
      <c r="E14" s="166"/>
      <c r="F14" s="166"/>
      <c r="G14" s="55" t="s">
        <v>1631</v>
      </c>
      <c r="H14" s="64">
        <v>1</v>
      </c>
      <c r="I14" s="64">
        <v>132</v>
      </c>
      <c r="J14" s="64">
        <f>H14*AO14</f>
        <v>0</v>
      </c>
      <c r="K14" s="64">
        <f>H14*AP14</f>
        <v>132</v>
      </c>
      <c r="L14" s="64">
        <f>H14*I14</f>
        <v>132</v>
      </c>
      <c r="M14" s="73" t="s">
        <v>1657</v>
      </c>
      <c r="N14" s="19"/>
      <c r="Z14" s="35">
        <f>IF(AQ14="5",BJ14,0)</f>
        <v>0</v>
      </c>
      <c r="AB14" s="35">
        <f>IF(AQ14="1",BH14,0)</f>
        <v>0</v>
      </c>
      <c r="AC14" s="35">
        <f>IF(AQ14="1",BI14,0)</f>
        <v>132</v>
      </c>
      <c r="AD14" s="35">
        <f>IF(AQ14="7",BH14,0)</f>
        <v>0</v>
      </c>
      <c r="AE14" s="35">
        <f>IF(AQ14="7",BI14,0)</f>
        <v>0</v>
      </c>
      <c r="AF14" s="35">
        <f>IF(AQ14="2",BH14,0)</f>
        <v>0</v>
      </c>
      <c r="AG14" s="35">
        <f>IF(AQ14="2",BI14,0)</f>
        <v>0</v>
      </c>
      <c r="AH14" s="35">
        <f>IF(AQ14="0",BJ14,0)</f>
        <v>0</v>
      </c>
      <c r="AI14" s="77" t="s">
        <v>59</v>
      </c>
      <c r="AJ14" s="64">
        <f>IF(AN14=0,L14,0)</f>
        <v>0</v>
      </c>
      <c r="AK14" s="64">
        <f>IF(AN14=15,L14,0)</f>
        <v>0</v>
      </c>
      <c r="AL14" s="64">
        <f>IF(AN14=21,L14,0)</f>
        <v>132</v>
      </c>
      <c r="AN14" s="35">
        <v>21</v>
      </c>
      <c r="AO14" s="35">
        <f>I14*0</f>
        <v>0</v>
      </c>
      <c r="AP14" s="35">
        <f>I14*(1-0)</f>
        <v>132</v>
      </c>
      <c r="AQ14" s="78" t="s">
        <v>109</v>
      </c>
      <c r="AV14" s="35">
        <f>AW14+AX14</f>
        <v>132</v>
      </c>
      <c r="AW14" s="35">
        <f>H14*AO14</f>
        <v>0</v>
      </c>
      <c r="AX14" s="35">
        <f>H14*AP14</f>
        <v>132</v>
      </c>
      <c r="AY14" s="80" t="s">
        <v>1670</v>
      </c>
      <c r="AZ14" s="80" t="s">
        <v>1722</v>
      </c>
      <c r="BA14" s="77" t="s">
        <v>1772</v>
      </c>
      <c r="BC14" s="35">
        <f>AW14+AX14</f>
        <v>132</v>
      </c>
      <c r="BD14" s="35">
        <f>I14/(100-BE14)*100</f>
        <v>132</v>
      </c>
      <c r="BE14" s="35">
        <v>0</v>
      </c>
      <c r="BF14" s="35">
        <f>14</f>
        <v>14</v>
      </c>
      <c r="BH14" s="64">
        <f>H14*AO14</f>
        <v>0</v>
      </c>
      <c r="BI14" s="64">
        <f>H14*AP14</f>
        <v>132</v>
      </c>
      <c r="BJ14" s="64">
        <f>H14*I14</f>
        <v>132</v>
      </c>
      <c r="BK14" s="64" t="s">
        <v>1790</v>
      </c>
      <c r="BL14" s="35">
        <v>31</v>
      </c>
    </row>
    <row r="15" spans="1:64">
      <c r="A15" s="19"/>
      <c r="C15" s="59" t="s">
        <v>730</v>
      </c>
      <c r="D15" s="167" t="s">
        <v>1123</v>
      </c>
      <c r="E15" s="168"/>
      <c r="F15" s="168"/>
      <c r="G15" s="168"/>
      <c r="H15" s="168"/>
      <c r="I15" s="168"/>
      <c r="J15" s="168"/>
      <c r="K15" s="168"/>
      <c r="L15" s="168"/>
      <c r="M15" s="169"/>
      <c r="N15" s="19"/>
    </row>
    <row r="16" spans="1:64">
      <c r="A16" s="47" t="s">
        <v>110</v>
      </c>
      <c r="B16" s="55" t="s">
        <v>59</v>
      </c>
      <c r="C16" s="55" t="s">
        <v>731</v>
      </c>
      <c r="D16" s="165" t="s">
        <v>1124</v>
      </c>
      <c r="E16" s="166"/>
      <c r="F16" s="166"/>
      <c r="G16" s="55" t="s">
        <v>1631</v>
      </c>
      <c r="H16" s="64">
        <v>2</v>
      </c>
      <c r="I16" s="64">
        <v>203</v>
      </c>
      <c r="J16" s="64">
        <f>H16*AO16</f>
        <v>0</v>
      </c>
      <c r="K16" s="64">
        <f>H16*AP16</f>
        <v>406</v>
      </c>
      <c r="L16" s="64">
        <f>H16*I16</f>
        <v>406</v>
      </c>
      <c r="M16" s="73" t="s">
        <v>1657</v>
      </c>
      <c r="N16" s="19"/>
      <c r="Z16" s="35">
        <f>IF(AQ16="5",BJ16,0)</f>
        <v>0</v>
      </c>
      <c r="AB16" s="35">
        <f>IF(AQ16="1",BH16,0)</f>
        <v>0</v>
      </c>
      <c r="AC16" s="35">
        <f>IF(AQ16="1",BI16,0)</f>
        <v>406</v>
      </c>
      <c r="AD16" s="35">
        <f>IF(AQ16="7",BH16,0)</f>
        <v>0</v>
      </c>
      <c r="AE16" s="35">
        <f>IF(AQ16="7",BI16,0)</f>
        <v>0</v>
      </c>
      <c r="AF16" s="35">
        <f>IF(AQ16="2",BH16,0)</f>
        <v>0</v>
      </c>
      <c r="AG16" s="35">
        <f>IF(AQ16="2",BI16,0)</f>
        <v>0</v>
      </c>
      <c r="AH16" s="35">
        <f>IF(AQ16="0",BJ16,0)</f>
        <v>0</v>
      </c>
      <c r="AI16" s="77" t="s">
        <v>59</v>
      </c>
      <c r="AJ16" s="64">
        <f>IF(AN16=0,L16,0)</f>
        <v>0</v>
      </c>
      <c r="AK16" s="64">
        <f>IF(AN16=15,L16,0)</f>
        <v>0</v>
      </c>
      <c r="AL16" s="64">
        <f>IF(AN16=21,L16,0)</f>
        <v>406</v>
      </c>
      <c r="AN16" s="35">
        <v>21</v>
      </c>
      <c r="AO16" s="35">
        <f>I16*0</f>
        <v>0</v>
      </c>
      <c r="AP16" s="35">
        <f>I16*(1-0)</f>
        <v>203</v>
      </c>
      <c r="AQ16" s="78" t="s">
        <v>109</v>
      </c>
      <c r="AV16" s="35">
        <f>AW16+AX16</f>
        <v>406</v>
      </c>
      <c r="AW16" s="35">
        <f>H16*AO16</f>
        <v>0</v>
      </c>
      <c r="AX16" s="35">
        <f>H16*AP16</f>
        <v>406</v>
      </c>
      <c r="AY16" s="80" t="s">
        <v>1670</v>
      </c>
      <c r="AZ16" s="80" t="s">
        <v>1722</v>
      </c>
      <c r="BA16" s="77" t="s">
        <v>1772</v>
      </c>
      <c r="BC16" s="35">
        <f>AW16+AX16</f>
        <v>406</v>
      </c>
      <c r="BD16" s="35">
        <f>I16/(100-BE16)*100</f>
        <v>202.99999999999997</v>
      </c>
      <c r="BE16" s="35">
        <v>0</v>
      </c>
      <c r="BF16" s="35">
        <f>16</f>
        <v>16</v>
      </c>
      <c r="BH16" s="64">
        <f>H16*AO16</f>
        <v>0</v>
      </c>
      <c r="BI16" s="64">
        <f>H16*AP16</f>
        <v>406</v>
      </c>
      <c r="BJ16" s="64">
        <f>H16*I16</f>
        <v>406</v>
      </c>
      <c r="BK16" s="64" t="s">
        <v>1790</v>
      </c>
      <c r="BL16" s="35">
        <v>31</v>
      </c>
    </row>
    <row r="17" spans="1:64">
      <c r="A17" s="19"/>
      <c r="C17" s="59" t="s">
        <v>730</v>
      </c>
      <c r="D17" s="167" t="s">
        <v>1123</v>
      </c>
      <c r="E17" s="168"/>
      <c r="F17" s="168"/>
      <c r="G17" s="168"/>
      <c r="H17" s="168"/>
      <c r="I17" s="168"/>
      <c r="J17" s="168"/>
      <c r="K17" s="168"/>
      <c r="L17" s="168"/>
      <c r="M17" s="169"/>
      <c r="N17" s="19"/>
    </row>
    <row r="18" spans="1:64">
      <c r="A18" s="46"/>
      <c r="B18" s="54" t="s">
        <v>59</v>
      </c>
      <c r="C18" s="54" t="s">
        <v>132</v>
      </c>
      <c r="D18" s="163" t="s">
        <v>183</v>
      </c>
      <c r="E18" s="164"/>
      <c r="F18" s="164"/>
      <c r="G18" s="61" t="s">
        <v>57</v>
      </c>
      <c r="H18" s="61" t="s">
        <v>57</v>
      </c>
      <c r="I18" s="61" t="s">
        <v>57</v>
      </c>
      <c r="J18" s="83">
        <f>SUM(J19:J19)</f>
        <v>0</v>
      </c>
      <c r="K18" s="83">
        <f>SUM(K19:K19)</f>
        <v>48.769600000000004</v>
      </c>
      <c r="L18" s="83">
        <f>SUM(L19:L19)</f>
        <v>48.769600000000004</v>
      </c>
      <c r="M18" s="72"/>
      <c r="N18" s="19"/>
      <c r="AI18" s="77" t="s">
        <v>59</v>
      </c>
      <c r="AS18" s="83">
        <f>SUM(AJ19:AJ19)</f>
        <v>0</v>
      </c>
      <c r="AT18" s="83">
        <f>SUM(AK19:AK19)</f>
        <v>0</v>
      </c>
      <c r="AU18" s="83">
        <f>SUM(AL19:AL19)</f>
        <v>48.769600000000004</v>
      </c>
    </row>
    <row r="19" spans="1:64">
      <c r="A19" s="47" t="s">
        <v>99</v>
      </c>
      <c r="B19" s="55" t="s">
        <v>59</v>
      </c>
      <c r="C19" s="55" t="s">
        <v>732</v>
      </c>
      <c r="D19" s="165" t="s">
        <v>1125</v>
      </c>
      <c r="E19" s="166"/>
      <c r="F19" s="166"/>
      <c r="G19" s="55" t="s">
        <v>1632</v>
      </c>
      <c r="H19" s="64">
        <v>0.29920000000000002</v>
      </c>
      <c r="I19" s="64">
        <v>163</v>
      </c>
      <c r="J19" s="64">
        <f>H19*AO19</f>
        <v>0</v>
      </c>
      <c r="K19" s="64">
        <f>H19*AP19</f>
        <v>48.769600000000004</v>
      </c>
      <c r="L19" s="64">
        <f>H19*I19</f>
        <v>48.769600000000004</v>
      </c>
      <c r="M19" s="73" t="s">
        <v>1657</v>
      </c>
      <c r="N19" s="19"/>
      <c r="Z19" s="35">
        <f>IF(AQ19="5",BJ19,0)</f>
        <v>0</v>
      </c>
      <c r="AB19" s="35">
        <f>IF(AQ19="1",BH19,0)</f>
        <v>0</v>
      </c>
      <c r="AC19" s="35">
        <f>IF(AQ19="1",BI19,0)</f>
        <v>48.769600000000004</v>
      </c>
      <c r="AD19" s="35">
        <f>IF(AQ19="7",BH19,0)</f>
        <v>0</v>
      </c>
      <c r="AE19" s="35">
        <f>IF(AQ19="7",BI19,0)</f>
        <v>0</v>
      </c>
      <c r="AF19" s="35">
        <f>IF(AQ19="2",BH19,0)</f>
        <v>0</v>
      </c>
      <c r="AG19" s="35">
        <f>IF(AQ19="2",BI19,0)</f>
        <v>0</v>
      </c>
      <c r="AH19" s="35">
        <f>IF(AQ19="0",BJ19,0)</f>
        <v>0</v>
      </c>
      <c r="AI19" s="77" t="s">
        <v>59</v>
      </c>
      <c r="AJ19" s="64">
        <f>IF(AN19=0,L19,0)</f>
        <v>0</v>
      </c>
      <c r="AK19" s="64">
        <f>IF(AN19=15,L19,0)</f>
        <v>0</v>
      </c>
      <c r="AL19" s="64">
        <f>IF(AN19=21,L19,0)</f>
        <v>48.769600000000004</v>
      </c>
      <c r="AN19" s="35">
        <v>21</v>
      </c>
      <c r="AO19" s="35">
        <f>I19*0</f>
        <v>0</v>
      </c>
      <c r="AP19" s="35">
        <f>I19*(1-0)</f>
        <v>163</v>
      </c>
      <c r="AQ19" s="78" t="s">
        <v>109</v>
      </c>
      <c r="AV19" s="35">
        <f>AW19+AX19</f>
        <v>48.769600000000004</v>
      </c>
      <c r="AW19" s="35">
        <f>H19*AO19</f>
        <v>0</v>
      </c>
      <c r="AX19" s="35">
        <f>H19*AP19</f>
        <v>48.769600000000004</v>
      </c>
      <c r="AY19" s="80" t="s">
        <v>1671</v>
      </c>
      <c r="AZ19" s="80" t="s">
        <v>1723</v>
      </c>
      <c r="BA19" s="77" t="s">
        <v>1772</v>
      </c>
      <c r="BC19" s="35">
        <f>AW19+AX19</f>
        <v>48.769600000000004</v>
      </c>
      <c r="BD19" s="35">
        <f>I19/(100-BE19)*100</f>
        <v>163</v>
      </c>
      <c r="BE19" s="35">
        <v>0</v>
      </c>
      <c r="BF19" s="35">
        <f>19</f>
        <v>19</v>
      </c>
      <c r="BH19" s="64">
        <f>H19*AO19</f>
        <v>0</v>
      </c>
      <c r="BI19" s="64">
        <f>H19*AP19</f>
        <v>48.769600000000004</v>
      </c>
      <c r="BJ19" s="64">
        <f>H19*I19</f>
        <v>48.769600000000004</v>
      </c>
      <c r="BK19" s="64" t="s">
        <v>1790</v>
      </c>
      <c r="BL19" s="35">
        <v>60</v>
      </c>
    </row>
    <row r="20" spans="1:64">
      <c r="A20" s="19"/>
      <c r="C20" s="59" t="s">
        <v>730</v>
      </c>
      <c r="D20" s="167" t="s">
        <v>1126</v>
      </c>
      <c r="E20" s="168"/>
      <c r="F20" s="168"/>
      <c r="G20" s="168"/>
      <c r="H20" s="168"/>
      <c r="I20" s="168"/>
      <c r="J20" s="168"/>
      <c r="K20" s="168"/>
      <c r="L20" s="168"/>
      <c r="M20" s="169"/>
      <c r="N20" s="19"/>
    </row>
    <row r="21" spans="1:64">
      <c r="A21" s="46"/>
      <c r="B21" s="54" t="s">
        <v>59</v>
      </c>
      <c r="C21" s="54" t="s">
        <v>133</v>
      </c>
      <c r="D21" s="163" t="s">
        <v>184</v>
      </c>
      <c r="E21" s="164"/>
      <c r="F21" s="164"/>
      <c r="G21" s="61" t="s">
        <v>57</v>
      </c>
      <c r="H21" s="61" t="s">
        <v>57</v>
      </c>
      <c r="I21" s="61" t="s">
        <v>57</v>
      </c>
      <c r="J21" s="83">
        <f>SUM(J22:J22)</f>
        <v>0</v>
      </c>
      <c r="K21" s="83">
        <f>SUM(K22:K22)</f>
        <v>93.948800000000006</v>
      </c>
      <c r="L21" s="83">
        <f>SUM(L22:L22)</f>
        <v>93.948800000000006</v>
      </c>
      <c r="M21" s="72"/>
      <c r="N21" s="19"/>
      <c r="AI21" s="77" t="s">
        <v>59</v>
      </c>
      <c r="AS21" s="83">
        <f>SUM(AJ22:AJ22)</f>
        <v>0</v>
      </c>
      <c r="AT21" s="83">
        <f>SUM(AK22:AK22)</f>
        <v>0</v>
      </c>
      <c r="AU21" s="83">
        <f>SUM(AL22:AL22)</f>
        <v>93.948800000000006</v>
      </c>
    </row>
    <row r="22" spans="1:64">
      <c r="A22" s="47" t="s">
        <v>111</v>
      </c>
      <c r="B22" s="55" t="s">
        <v>59</v>
      </c>
      <c r="C22" s="55" t="s">
        <v>733</v>
      </c>
      <c r="D22" s="165" t="s">
        <v>1127</v>
      </c>
      <c r="E22" s="166"/>
      <c r="F22" s="166"/>
      <c r="G22" s="55" t="s">
        <v>1632</v>
      </c>
      <c r="H22" s="64">
        <v>0.29920000000000002</v>
      </c>
      <c r="I22" s="64">
        <v>314</v>
      </c>
      <c r="J22" s="64">
        <f>H22*AO22</f>
        <v>0</v>
      </c>
      <c r="K22" s="64">
        <f>H22*AP22</f>
        <v>93.948800000000006</v>
      </c>
      <c r="L22" s="64">
        <f>H22*I22</f>
        <v>93.948800000000006</v>
      </c>
      <c r="M22" s="73" t="s">
        <v>1657</v>
      </c>
      <c r="N22" s="19"/>
      <c r="Z22" s="35">
        <f>IF(AQ22="5",BJ22,0)</f>
        <v>0</v>
      </c>
      <c r="AB22" s="35">
        <f>IF(AQ22="1",BH22,0)</f>
        <v>0</v>
      </c>
      <c r="AC22" s="35">
        <f>IF(AQ22="1",BI22,0)</f>
        <v>93.948800000000006</v>
      </c>
      <c r="AD22" s="35">
        <f>IF(AQ22="7",BH22,0)</f>
        <v>0</v>
      </c>
      <c r="AE22" s="35">
        <f>IF(AQ22="7",BI22,0)</f>
        <v>0</v>
      </c>
      <c r="AF22" s="35">
        <f>IF(AQ22="2",BH22,0)</f>
        <v>0</v>
      </c>
      <c r="AG22" s="35">
        <f>IF(AQ22="2",BI22,0)</f>
        <v>0</v>
      </c>
      <c r="AH22" s="35">
        <f>IF(AQ22="0",BJ22,0)</f>
        <v>0</v>
      </c>
      <c r="AI22" s="77" t="s">
        <v>59</v>
      </c>
      <c r="AJ22" s="64">
        <f>IF(AN22=0,L22,0)</f>
        <v>0</v>
      </c>
      <c r="AK22" s="64">
        <f>IF(AN22=15,L22,0)</f>
        <v>0</v>
      </c>
      <c r="AL22" s="64">
        <f>IF(AN22=21,L22,0)</f>
        <v>93.948800000000006</v>
      </c>
      <c r="AN22" s="35">
        <v>21</v>
      </c>
      <c r="AO22" s="35">
        <f>I22*0</f>
        <v>0</v>
      </c>
      <c r="AP22" s="35">
        <f>I22*(1-0)</f>
        <v>314</v>
      </c>
      <c r="AQ22" s="78" t="s">
        <v>109</v>
      </c>
      <c r="AV22" s="35">
        <f>AW22+AX22</f>
        <v>93.948800000000006</v>
      </c>
      <c r="AW22" s="35">
        <f>H22*AO22</f>
        <v>0</v>
      </c>
      <c r="AX22" s="35">
        <f>H22*AP22</f>
        <v>93.948800000000006</v>
      </c>
      <c r="AY22" s="80" t="s">
        <v>1672</v>
      </c>
      <c r="AZ22" s="80" t="s">
        <v>1723</v>
      </c>
      <c r="BA22" s="77" t="s">
        <v>1772</v>
      </c>
      <c r="BC22" s="35">
        <f>AW22+AX22</f>
        <v>93.948800000000006</v>
      </c>
      <c r="BD22" s="35">
        <f>I22/(100-BE22)*100</f>
        <v>314</v>
      </c>
      <c r="BE22" s="35">
        <v>0</v>
      </c>
      <c r="BF22" s="35">
        <f>22</f>
        <v>22</v>
      </c>
      <c r="BH22" s="64">
        <f>H22*AO22</f>
        <v>0</v>
      </c>
      <c r="BI22" s="64">
        <f>H22*AP22</f>
        <v>93.948800000000006</v>
      </c>
      <c r="BJ22" s="64">
        <f>H22*I22</f>
        <v>93.948800000000006</v>
      </c>
      <c r="BK22" s="64" t="s">
        <v>1790</v>
      </c>
      <c r="BL22" s="35">
        <v>61</v>
      </c>
    </row>
    <row r="23" spans="1:64">
      <c r="A23" s="46"/>
      <c r="B23" s="54" t="s">
        <v>59</v>
      </c>
      <c r="C23" s="54" t="s">
        <v>134</v>
      </c>
      <c r="D23" s="163" t="s">
        <v>185</v>
      </c>
      <c r="E23" s="164"/>
      <c r="F23" s="164"/>
      <c r="G23" s="61" t="s">
        <v>57</v>
      </c>
      <c r="H23" s="61" t="s">
        <v>57</v>
      </c>
      <c r="I23" s="61" t="s">
        <v>57</v>
      </c>
      <c r="J23" s="83">
        <f>SUM(J24:J49)</f>
        <v>41130.54</v>
      </c>
      <c r="K23" s="83">
        <f>SUM(K24:K49)</f>
        <v>1707526.5695000004</v>
      </c>
      <c r="L23" s="83">
        <f>SUM(L24:L49)</f>
        <v>1748657.1095000005</v>
      </c>
      <c r="M23" s="72"/>
      <c r="N23" s="19"/>
      <c r="AI23" s="77" t="s">
        <v>59</v>
      </c>
      <c r="AS23" s="83">
        <f>SUM(AJ24:AJ49)</f>
        <v>0</v>
      </c>
      <c r="AT23" s="83">
        <f>SUM(AK24:AK49)</f>
        <v>0</v>
      </c>
      <c r="AU23" s="83">
        <f>SUM(AL24:AL49)</f>
        <v>1748657.1095000005</v>
      </c>
    </row>
    <row r="24" spans="1:64">
      <c r="A24" s="47" t="s">
        <v>112</v>
      </c>
      <c r="B24" s="55" t="s">
        <v>59</v>
      </c>
      <c r="C24" s="55" t="s">
        <v>734</v>
      </c>
      <c r="D24" s="165" t="s">
        <v>1128</v>
      </c>
      <c r="E24" s="166"/>
      <c r="F24" s="166"/>
      <c r="G24" s="55" t="s">
        <v>1632</v>
      </c>
      <c r="H24" s="64">
        <v>241.5615</v>
      </c>
      <c r="I24" s="64">
        <v>34</v>
      </c>
      <c r="J24" s="64">
        <f t="shared" ref="J24:J29" si="0">H24*AO24</f>
        <v>0</v>
      </c>
      <c r="K24" s="64">
        <f t="shared" ref="K24:K29" si="1">H24*AP24</f>
        <v>8213.0910000000003</v>
      </c>
      <c r="L24" s="64">
        <f t="shared" ref="L24:L29" si="2">H24*I24</f>
        <v>8213.0910000000003</v>
      </c>
      <c r="M24" s="73" t="s">
        <v>1657</v>
      </c>
      <c r="N24" s="19"/>
      <c r="Z24" s="35">
        <f t="shared" ref="Z24:Z29" si="3">IF(AQ24="5",BJ24,0)</f>
        <v>0</v>
      </c>
      <c r="AB24" s="35">
        <f t="shared" ref="AB24:AB29" si="4">IF(AQ24="1",BH24,0)</f>
        <v>0</v>
      </c>
      <c r="AC24" s="35">
        <f t="shared" ref="AC24:AC29" si="5">IF(AQ24="1",BI24,0)</f>
        <v>8213.0910000000003</v>
      </c>
      <c r="AD24" s="35">
        <f t="shared" ref="AD24:AD29" si="6">IF(AQ24="7",BH24,0)</f>
        <v>0</v>
      </c>
      <c r="AE24" s="35">
        <f t="shared" ref="AE24:AE29" si="7">IF(AQ24="7",BI24,0)</f>
        <v>0</v>
      </c>
      <c r="AF24" s="35">
        <f t="shared" ref="AF24:AF29" si="8">IF(AQ24="2",BH24,0)</f>
        <v>0</v>
      </c>
      <c r="AG24" s="35">
        <f t="shared" ref="AG24:AG29" si="9">IF(AQ24="2",BI24,0)</f>
        <v>0</v>
      </c>
      <c r="AH24" s="35">
        <f t="shared" ref="AH24:AH29" si="10">IF(AQ24="0",BJ24,0)</f>
        <v>0</v>
      </c>
      <c r="AI24" s="77" t="s">
        <v>59</v>
      </c>
      <c r="AJ24" s="64">
        <f t="shared" ref="AJ24:AJ29" si="11">IF(AN24=0,L24,0)</f>
        <v>0</v>
      </c>
      <c r="AK24" s="64">
        <f t="shared" ref="AK24:AK29" si="12">IF(AN24=15,L24,0)</f>
        <v>0</v>
      </c>
      <c r="AL24" s="64">
        <f t="shared" ref="AL24:AL29" si="13">IF(AN24=21,L24,0)</f>
        <v>8213.0910000000003</v>
      </c>
      <c r="AN24" s="35">
        <v>21</v>
      </c>
      <c r="AO24" s="35">
        <f>I24*0</f>
        <v>0</v>
      </c>
      <c r="AP24" s="35">
        <f>I24*(1-0)</f>
        <v>34</v>
      </c>
      <c r="AQ24" s="78" t="s">
        <v>109</v>
      </c>
      <c r="AV24" s="35">
        <f t="shared" ref="AV24:AV29" si="14">AW24+AX24</f>
        <v>8213.0910000000003</v>
      </c>
      <c r="AW24" s="35">
        <f t="shared" ref="AW24:AW29" si="15">H24*AO24</f>
        <v>0</v>
      </c>
      <c r="AX24" s="35">
        <f t="shared" ref="AX24:AX29" si="16">H24*AP24</f>
        <v>8213.0910000000003</v>
      </c>
      <c r="AY24" s="80" t="s">
        <v>1673</v>
      </c>
      <c r="AZ24" s="80" t="s">
        <v>1723</v>
      </c>
      <c r="BA24" s="77" t="s">
        <v>1772</v>
      </c>
      <c r="BC24" s="35">
        <f t="shared" ref="BC24:BC29" si="17">AW24+AX24</f>
        <v>8213.0910000000003</v>
      </c>
      <c r="BD24" s="35">
        <f t="shared" ref="BD24:BD29" si="18">I24/(100-BE24)*100</f>
        <v>34</v>
      </c>
      <c r="BE24" s="35">
        <v>0</v>
      </c>
      <c r="BF24" s="35">
        <f>24</f>
        <v>24</v>
      </c>
      <c r="BH24" s="64">
        <f t="shared" ref="BH24:BH29" si="19">H24*AO24</f>
        <v>0</v>
      </c>
      <c r="BI24" s="64">
        <f t="shared" ref="BI24:BI29" si="20">H24*AP24</f>
        <v>8213.0910000000003</v>
      </c>
      <c r="BJ24" s="64">
        <f t="shared" ref="BJ24:BJ29" si="21">H24*I24</f>
        <v>8213.0910000000003</v>
      </c>
      <c r="BK24" s="64" t="s">
        <v>1790</v>
      </c>
      <c r="BL24" s="35">
        <v>62</v>
      </c>
    </row>
    <row r="25" spans="1:64">
      <c r="A25" s="47" t="s">
        <v>100</v>
      </c>
      <c r="B25" s="55" t="s">
        <v>59</v>
      </c>
      <c r="C25" s="55" t="s">
        <v>735</v>
      </c>
      <c r="D25" s="165" t="s">
        <v>1129</v>
      </c>
      <c r="E25" s="166"/>
      <c r="F25" s="166"/>
      <c r="G25" s="55" t="s">
        <v>1632</v>
      </c>
      <c r="H25" s="64">
        <v>243.732</v>
      </c>
      <c r="I25" s="64">
        <v>84</v>
      </c>
      <c r="J25" s="64">
        <f t="shared" si="0"/>
        <v>0</v>
      </c>
      <c r="K25" s="64">
        <f t="shared" si="1"/>
        <v>20473.488000000001</v>
      </c>
      <c r="L25" s="64">
        <f t="shared" si="2"/>
        <v>20473.488000000001</v>
      </c>
      <c r="M25" s="73" t="s">
        <v>1657</v>
      </c>
      <c r="N25" s="19"/>
      <c r="Z25" s="35">
        <f t="shared" si="3"/>
        <v>0</v>
      </c>
      <c r="AB25" s="35">
        <f t="shared" si="4"/>
        <v>0</v>
      </c>
      <c r="AC25" s="35">
        <f t="shared" si="5"/>
        <v>20473.488000000001</v>
      </c>
      <c r="AD25" s="35">
        <f t="shared" si="6"/>
        <v>0</v>
      </c>
      <c r="AE25" s="35">
        <f t="shared" si="7"/>
        <v>0</v>
      </c>
      <c r="AF25" s="35">
        <f t="shared" si="8"/>
        <v>0</v>
      </c>
      <c r="AG25" s="35">
        <f t="shared" si="9"/>
        <v>0</v>
      </c>
      <c r="AH25" s="35">
        <f t="shared" si="10"/>
        <v>0</v>
      </c>
      <c r="AI25" s="77" t="s">
        <v>59</v>
      </c>
      <c r="AJ25" s="64">
        <f t="shared" si="11"/>
        <v>0</v>
      </c>
      <c r="AK25" s="64">
        <f t="shared" si="12"/>
        <v>0</v>
      </c>
      <c r="AL25" s="64">
        <f t="shared" si="13"/>
        <v>20473.488000000001</v>
      </c>
      <c r="AN25" s="35">
        <v>21</v>
      </c>
      <c r="AO25" s="35">
        <f>I25*0</f>
        <v>0</v>
      </c>
      <c r="AP25" s="35">
        <f>I25*(1-0)</f>
        <v>84</v>
      </c>
      <c r="AQ25" s="78" t="s">
        <v>109</v>
      </c>
      <c r="AV25" s="35">
        <f t="shared" si="14"/>
        <v>20473.488000000001</v>
      </c>
      <c r="AW25" s="35">
        <f t="shared" si="15"/>
        <v>0</v>
      </c>
      <c r="AX25" s="35">
        <f t="shared" si="16"/>
        <v>20473.488000000001</v>
      </c>
      <c r="AY25" s="80" t="s">
        <v>1673</v>
      </c>
      <c r="AZ25" s="80" t="s">
        <v>1723</v>
      </c>
      <c r="BA25" s="77" t="s">
        <v>1772</v>
      </c>
      <c r="BC25" s="35">
        <f t="shared" si="17"/>
        <v>20473.488000000001</v>
      </c>
      <c r="BD25" s="35">
        <f t="shared" si="18"/>
        <v>84</v>
      </c>
      <c r="BE25" s="35">
        <v>0</v>
      </c>
      <c r="BF25" s="35">
        <f>25</f>
        <v>25</v>
      </c>
      <c r="BH25" s="64">
        <f t="shared" si="19"/>
        <v>0</v>
      </c>
      <c r="BI25" s="64">
        <f t="shared" si="20"/>
        <v>20473.488000000001</v>
      </c>
      <c r="BJ25" s="64">
        <f t="shared" si="21"/>
        <v>20473.488000000001</v>
      </c>
      <c r="BK25" s="64" t="s">
        <v>1790</v>
      </c>
      <c r="BL25" s="35">
        <v>62</v>
      </c>
    </row>
    <row r="26" spans="1:64">
      <c r="A26" s="47" t="s">
        <v>235</v>
      </c>
      <c r="B26" s="55" t="s">
        <v>59</v>
      </c>
      <c r="C26" s="55" t="s">
        <v>736</v>
      </c>
      <c r="D26" s="165" t="s">
        <v>1130</v>
      </c>
      <c r="E26" s="166"/>
      <c r="F26" s="166"/>
      <c r="G26" s="55" t="s">
        <v>1633</v>
      </c>
      <c r="H26" s="64">
        <v>32</v>
      </c>
      <c r="I26" s="64">
        <v>54</v>
      </c>
      <c r="J26" s="64">
        <f t="shared" si="0"/>
        <v>0</v>
      </c>
      <c r="K26" s="64">
        <f t="shared" si="1"/>
        <v>1728</v>
      </c>
      <c r="L26" s="64">
        <f t="shared" si="2"/>
        <v>1728</v>
      </c>
      <c r="M26" s="73" t="s">
        <v>1657</v>
      </c>
      <c r="N26" s="19"/>
      <c r="Z26" s="35">
        <f t="shared" si="3"/>
        <v>0</v>
      </c>
      <c r="AB26" s="35">
        <f t="shared" si="4"/>
        <v>0</v>
      </c>
      <c r="AC26" s="35">
        <f t="shared" si="5"/>
        <v>1728</v>
      </c>
      <c r="AD26" s="35">
        <f t="shared" si="6"/>
        <v>0</v>
      </c>
      <c r="AE26" s="35">
        <f t="shared" si="7"/>
        <v>0</v>
      </c>
      <c r="AF26" s="35">
        <f t="shared" si="8"/>
        <v>0</v>
      </c>
      <c r="AG26" s="35">
        <f t="shared" si="9"/>
        <v>0</v>
      </c>
      <c r="AH26" s="35">
        <f t="shared" si="10"/>
        <v>0</v>
      </c>
      <c r="AI26" s="77" t="s">
        <v>59</v>
      </c>
      <c r="AJ26" s="64">
        <f t="shared" si="11"/>
        <v>0</v>
      </c>
      <c r="AK26" s="64">
        <f t="shared" si="12"/>
        <v>0</v>
      </c>
      <c r="AL26" s="64">
        <f t="shared" si="13"/>
        <v>1728</v>
      </c>
      <c r="AN26" s="35">
        <v>21</v>
      </c>
      <c r="AO26" s="35">
        <f>I26*0</f>
        <v>0</v>
      </c>
      <c r="AP26" s="35">
        <f>I26*(1-0)</f>
        <v>54</v>
      </c>
      <c r="AQ26" s="78" t="s">
        <v>109</v>
      </c>
      <c r="AV26" s="35">
        <f t="shared" si="14"/>
        <v>1728</v>
      </c>
      <c r="AW26" s="35">
        <f t="shared" si="15"/>
        <v>0</v>
      </c>
      <c r="AX26" s="35">
        <f t="shared" si="16"/>
        <v>1728</v>
      </c>
      <c r="AY26" s="80" t="s">
        <v>1673</v>
      </c>
      <c r="AZ26" s="80" t="s">
        <v>1723</v>
      </c>
      <c r="BA26" s="77" t="s">
        <v>1772</v>
      </c>
      <c r="BC26" s="35">
        <f t="shared" si="17"/>
        <v>1728</v>
      </c>
      <c r="BD26" s="35">
        <f t="shared" si="18"/>
        <v>54</v>
      </c>
      <c r="BE26" s="35">
        <v>0</v>
      </c>
      <c r="BF26" s="35">
        <f>26</f>
        <v>26</v>
      </c>
      <c r="BH26" s="64">
        <f t="shared" si="19"/>
        <v>0</v>
      </c>
      <c r="BI26" s="64">
        <f t="shared" si="20"/>
        <v>1728</v>
      </c>
      <c r="BJ26" s="64">
        <f t="shared" si="21"/>
        <v>1728</v>
      </c>
      <c r="BK26" s="64" t="s">
        <v>1790</v>
      </c>
      <c r="BL26" s="35">
        <v>62</v>
      </c>
    </row>
    <row r="27" spans="1:64">
      <c r="A27" s="48" t="s">
        <v>113</v>
      </c>
      <c r="B27" s="56" t="s">
        <v>59</v>
      </c>
      <c r="C27" s="56" t="s">
        <v>737</v>
      </c>
      <c r="D27" s="170" t="s">
        <v>1131</v>
      </c>
      <c r="E27" s="171"/>
      <c r="F27" s="171"/>
      <c r="G27" s="56" t="s">
        <v>1633</v>
      </c>
      <c r="H27" s="65">
        <v>28.16</v>
      </c>
      <c r="I27" s="65">
        <v>163</v>
      </c>
      <c r="J27" s="65">
        <f t="shared" si="0"/>
        <v>4590.08</v>
      </c>
      <c r="K27" s="65">
        <f t="shared" si="1"/>
        <v>0</v>
      </c>
      <c r="L27" s="65">
        <f t="shared" si="2"/>
        <v>4590.08</v>
      </c>
      <c r="M27" s="74" t="s">
        <v>1657</v>
      </c>
      <c r="N27" s="19"/>
      <c r="Z27" s="35">
        <f t="shared" si="3"/>
        <v>0</v>
      </c>
      <c r="AB27" s="35">
        <f t="shared" si="4"/>
        <v>4590.08</v>
      </c>
      <c r="AC27" s="35">
        <f t="shared" si="5"/>
        <v>0</v>
      </c>
      <c r="AD27" s="35">
        <f t="shared" si="6"/>
        <v>0</v>
      </c>
      <c r="AE27" s="35">
        <f t="shared" si="7"/>
        <v>0</v>
      </c>
      <c r="AF27" s="35">
        <f t="shared" si="8"/>
        <v>0</v>
      </c>
      <c r="AG27" s="35">
        <f t="shared" si="9"/>
        <v>0</v>
      </c>
      <c r="AH27" s="35">
        <f t="shared" si="10"/>
        <v>0</v>
      </c>
      <c r="AI27" s="77" t="s">
        <v>59</v>
      </c>
      <c r="AJ27" s="65">
        <f t="shared" si="11"/>
        <v>0</v>
      </c>
      <c r="AK27" s="65">
        <f t="shared" si="12"/>
        <v>0</v>
      </c>
      <c r="AL27" s="65">
        <f t="shared" si="13"/>
        <v>4590.08</v>
      </c>
      <c r="AN27" s="35">
        <v>21</v>
      </c>
      <c r="AO27" s="35">
        <f>I27*1</f>
        <v>163</v>
      </c>
      <c r="AP27" s="35">
        <f>I27*(1-1)</f>
        <v>0</v>
      </c>
      <c r="AQ27" s="79" t="s">
        <v>109</v>
      </c>
      <c r="AV27" s="35">
        <f t="shared" si="14"/>
        <v>4590.08</v>
      </c>
      <c r="AW27" s="35">
        <f t="shared" si="15"/>
        <v>4590.08</v>
      </c>
      <c r="AX27" s="35">
        <f t="shared" si="16"/>
        <v>0</v>
      </c>
      <c r="AY27" s="80" t="s">
        <v>1673</v>
      </c>
      <c r="AZ27" s="80" t="s">
        <v>1723</v>
      </c>
      <c r="BA27" s="77" t="s">
        <v>1772</v>
      </c>
      <c r="BC27" s="35">
        <f t="shared" si="17"/>
        <v>4590.08</v>
      </c>
      <c r="BD27" s="35">
        <f t="shared" si="18"/>
        <v>163</v>
      </c>
      <c r="BE27" s="35">
        <v>0</v>
      </c>
      <c r="BF27" s="35">
        <f>27</f>
        <v>27</v>
      </c>
      <c r="BH27" s="65">
        <f t="shared" si="19"/>
        <v>4590.08</v>
      </c>
      <c r="BI27" s="65">
        <f t="shared" si="20"/>
        <v>0</v>
      </c>
      <c r="BJ27" s="65">
        <f t="shared" si="21"/>
        <v>4590.08</v>
      </c>
      <c r="BK27" s="65" t="s">
        <v>1642</v>
      </c>
      <c r="BL27" s="35">
        <v>62</v>
      </c>
    </row>
    <row r="28" spans="1:64">
      <c r="A28" s="48" t="s">
        <v>104</v>
      </c>
      <c r="B28" s="56" t="s">
        <v>59</v>
      </c>
      <c r="C28" s="56" t="s">
        <v>738</v>
      </c>
      <c r="D28" s="170" t="s">
        <v>1132</v>
      </c>
      <c r="E28" s="171"/>
      <c r="F28" s="171"/>
      <c r="G28" s="56" t="s">
        <v>1633</v>
      </c>
      <c r="H28" s="65">
        <v>7.04</v>
      </c>
      <c r="I28" s="65">
        <v>163</v>
      </c>
      <c r="J28" s="65">
        <f t="shared" si="0"/>
        <v>1147.52</v>
      </c>
      <c r="K28" s="65">
        <f t="shared" si="1"/>
        <v>0</v>
      </c>
      <c r="L28" s="65">
        <f t="shared" si="2"/>
        <v>1147.52</v>
      </c>
      <c r="M28" s="74" t="s">
        <v>1657</v>
      </c>
      <c r="N28" s="19"/>
      <c r="Z28" s="35">
        <f t="shared" si="3"/>
        <v>0</v>
      </c>
      <c r="AB28" s="35">
        <f t="shared" si="4"/>
        <v>1147.52</v>
      </c>
      <c r="AC28" s="35">
        <f t="shared" si="5"/>
        <v>0</v>
      </c>
      <c r="AD28" s="35">
        <f t="shared" si="6"/>
        <v>0</v>
      </c>
      <c r="AE28" s="35">
        <f t="shared" si="7"/>
        <v>0</v>
      </c>
      <c r="AF28" s="35">
        <f t="shared" si="8"/>
        <v>0</v>
      </c>
      <c r="AG28" s="35">
        <f t="shared" si="9"/>
        <v>0</v>
      </c>
      <c r="AH28" s="35">
        <f t="shared" si="10"/>
        <v>0</v>
      </c>
      <c r="AI28" s="77" t="s">
        <v>59</v>
      </c>
      <c r="AJ28" s="65">
        <f t="shared" si="11"/>
        <v>0</v>
      </c>
      <c r="AK28" s="65">
        <f t="shared" si="12"/>
        <v>0</v>
      </c>
      <c r="AL28" s="65">
        <f t="shared" si="13"/>
        <v>1147.52</v>
      </c>
      <c r="AN28" s="35">
        <v>21</v>
      </c>
      <c r="AO28" s="35">
        <f>I28*1</f>
        <v>163</v>
      </c>
      <c r="AP28" s="35">
        <f>I28*(1-1)</f>
        <v>0</v>
      </c>
      <c r="AQ28" s="79" t="s">
        <v>109</v>
      </c>
      <c r="AV28" s="35">
        <f t="shared" si="14"/>
        <v>1147.52</v>
      </c>
      <c r="AW28" s="35">
        <f t="shared" si="15"/>
        <v>1147.52</v>
      </c>
      <c r="AX28" s="35">
        <f t="shared" si="16"/>
        <v>0</v>
      </c>
      <c r="AY28" s="80" t="s">
        <v>1673</v>
      </c>
      <c r="AZ28" s="80" t="s">
        <v>1723</v>
      </c>
      <c r="BA28" s="77" t="s">
        <v>1772</v>
      </c>
      <c r="BC28" s="35">
        <f t="shared" si="17"/>
        <v>1147.52</v>
      </c>
      <c r="BD28" s="35">
        <f t="shared" si="18"/>
        <v>163</v>
      </c>
      <c r="BE28" s="35">
        <v>0</v>
      </c>
      <c r="BF28" s="35">
        <f>28</f>
        <v>28</v>
      </c>
      <c r="BH28" s="65">
        <f t="shared" si="19"/>
        <v>1147.52</v>
      </c>
      <c r="BI28" s="65">
        <f t="shared" si="20"/>
        <v>0</v>
      </c>
      <c r="BJ28" s="65">
        <f t="shared" si="21"/>
        <v>1147.52</v>
      </c>
      <c r="BK28" s="65" t="s">
        <v>1642</v>
      </c>
      <c r="BL28" s="35">
        <v>62</v>
      </c>
    </row>
    <row r="29" spans="1:64">
      <c r="A29" s="47" t="s">
        <v>236</v>
      </c>
      <c r="B29" s="55" t="s">
        <v>59</v>
      </c>
      <c r="C29" s="55" t="s">
        <v>739</v>
      </c>
      <c r="D29" s="165" t="s">
        <v>1133</v>
      </c>
      <c r="E29" s="166"/>
      <c r="F29" s="166"/>
      <c r="G29" s="55" t="s">
        <v>1633</v>
      </c>
      <c r="H29" s="64">
        <v>448.34</v>
      </c>
      <c r="I29" s="64">
        <v>19</v>
      </c>
      <c r="J29" s="64">
        <f t="shared" si="0"/>
        <v>0</v>
      </c>
      <c r="K29" s="64">
        <f t="shared" si="1"/>
        <v>8518.4599999999991</v>
      </c>
      <c r="L29" s="64">
        <f t="shared" si="2"/>
        <v>8518.4599999999991</v>
      </c>
      <c r="M29" s="73" t="s">
        <v>1657</v>
      </c>
      <c r="N29" s="19"/>
      <c r="Z29" s="35">
        <f t="shared" si="3"/>
        <v>0</v>
      </c>
      <c r="AB29" s="35">
        <f t="shared" si="4"/>
        <v>0</v>
      </c>
      <c r="AC29" s="35">
        <f t="shared" si="5"/>
        <v>8518.4599999999991</v>
      </c>
      <c r="AD29" s="35">
        <f t="shared" si="6"/>
        <v>0</v>
      </c>
      <c r="AE29" s="35">
        <f t="shared" si="7"/>
        <v>0</v>
      </c>
      <c r="AF29" s="35">
        <f t="shared" si="8"/>
        <v>0</v>
      </c>
      <c r="AG29" s="35">
        <f t="shared" si="9"/>
        <v>0</v>
      </c>
      <c r="AH29" s="35">
        <f t="shared" si="10"/>
        <v>0</v>
      </c>
      <c r="AI29" s="77" t="s">
        <v>59</v>
      </c>
      <c r="AJ29" s="64">
        <f t="shared" si="11"/>
        <v>0</v>
      </c>
      <c r="AK29" s="64">
        <f t="shared" si="12"/>
        <v>0</v>
      </c>
      <c r="AL29" s="64">
        <f t="shared" si="13"/>
        <v>8518.4599999999991</v>
      </c>
      <c r="AN29" s="35">
        <v>21</v>
      </c>
      <c r="AO29" s="35">
        <f>I29*0</f>
        <v>0</v>
      </c>
      <c r="AP29" s="35">
        <f>I29*(1-0)</f>
        <v>19</v>
      </c>
      <c r="AQ29" s="78" t="s">
        <v>109</v>
      </c>
      <c r="AV29" s="35">
        <f t="shared" si="14"/>
        <v>8518.4599999999991</v>
      </c>
      <c r="AW29" s="35">
        <f t="shared" si="15"/>
        <v>0</v>
      </c>
      <c r="AX29" s="35">
        <f t="shared" si="16"/>
        <v>8518.4599999999991</v>
      </c>
      <c r="AY29" s="80" t="s">
        <v>1673</v>
      </c>
      <c r="AZ29" s="80" t="s">
        <v>1723</v>
      </c>
      <c r="BA29" s="77" t="s">
        <v>1772</v>
      </c>
      <c r="BC29" s="35">
        <f t="shared" si="17"/>
        <v>8518.4599999999991</v>
      </c>
      <c r="BD29" s="35">
        <f t="shared" si="18"/>
        <v>19</v>
      </c>
      <c r="BE29" s="35">
        <v>0</v>
      </c>
      <c r="BF29" s="35">
        <f>29</f>
        <v>29</v>
      </c>
      <c r="BH29" s="64">
        <f t="shared" si="19"/>
        <v>0</v>
      </c>
      <c r="BI29" s="64">
        <f t="shared" si="20"/>
        <v>8518.4599999999991</v>
      </c>
      <c r="BJ29" s="64">
        <f t="shared" si="21"/>
        <v>8518.4599999999991</v>
      </c>
      <c r="BK29" s="64" t="s">
        <v>1790</v>
      </c>
      <c r="BL29" s="35">
        <v>62</v>
      </c>
    </row>
    <row r="30" spans="1:64">
      <c r="A30" s="19"/>
      <c r="C30" s="59" t="s">
        <v>730</v>
      </c>
      <c r="D30" s="167" t="s">
        <v>1134</v>
      </c>
      <c r="E30" s="168"/>
      <c r="F30" s="168"/>
      <c r="G30" s="168"/>
      <c r="H30" s="168"/>
      <c r="I30" s="168"/>
      <c r="J30" s="168"/>
      <c r="K30" s="168"/>
      <c r="L30" s="168"/>
      <c r="M30" s="169"/>
      <c r="N30" s="19"/>
    </row>
    <row r="31" spans="1:64">
      <c r="A31" s="47" t="s">
        <v>167</v>
      </c>
      <c r="B31" s="55" t="s">
        <v>59</v>
      </c>
      <c r="C31" s="55" t="s">
        <v>740</v>
      </c>
      <c r="D31" s="165" t="s">
        <v>1135</v>
      </c>
      <c r="E31" s="166"/>
      <c r="F31" s="166"/>
      <c r="G31" s="55" t="s">
        <v>1631</v>
      </c>
      <c r="H31" s="64">
        <v>2</v>
      </c>
      <c r="I31" s="64">
        <v>52</v>
      </c>
      <c r="J31" s="64">
        <f>H31*AO31</f>
        <v>0</v>
      </c>
      <c r="K31" s="64">
        <f>H31*AP31</f>
        <v>104</v>
      </c>
      <c r="L31" s="64">
        <f>H31*I31</f>
        <v>104</v>
      </c>
      <c r="M31" s="73" t="s">
        <v>1657</v>
      </c>
      <c r="N31" s="19"/>
      <c r="Z31" s="35">
        <f>IF(AQ31="5",BJ31,0)</f>
        <v>0</v>
      </c>
      <c r="AB31" s="35">
        <f>IF(AQ31="1",BH31,0)</f>
        <v>0</v>
      </c>
      <c r="AC31" s="35">
        <f>IF(AQ31="1",BI31,0)</f>
        <v>104</v>
      </c>
      <c r="AD31" s="35">
        <f>IF(AQ31="7",BH31,0)</f>
        <v>0</v>
      </c>
      <c r="AE31" s="35">
        <f>IF(AQ31="7",BI31,0)</f>
        <v>0</v>
      </c>
      <c r="AF31" s="35">
        <f>IF(AQ31="2",BH31,0)</f>
        <v>0</v>
      </c>
      <c r="AG31" s="35">
        <f>IF(AQ31="2",BI31,0)</f>
        <v>0</v>
      </c>
      <c r="AH31" s="35">
        <f>IF(AQ31="0",BJ31,0)</f>
        <v>0</v>
      </c>
      <c r="AI31" s="77" t="s">
        <v>59</v>
      </c>
      <c r="AJ31" s="64">
        <f>IF(AN31=0,L31,0)</f>
        <v>0</v>
      </c>
      <c r="AK31" s="64">
        <f>IF(AN31=15,L31,0)</f>
        <v>0</v>
      </c>
      <c r="AL31" s="64">
        <f>IF(AN31=21,L31,0)</f>
        <v>104</v>
      </c>
      <c r="AN31" s="35">
        <v>21</v>
      </c>
      <c r="AO31" s="35">
        <f>I31*0</f>
        <v>0</v>
      </c>
      <c r="AP31" s="35">
        <f>I31*(1-0)</f>
        <v>52</v>
      </c>
      <c r="AQ31" s="78" t="s">
        <v>109</v>
      </c>
      <c r="AV31" s="35">
        <f>AW31+AX31</f>
        <v>104</v>
      </c>
      <c r="AW31" s="35">
        <f>H31*AO31</f>
        <v>0</v>
      </c>
      <c r="AX31" s="35">
        <f>H31*AP31</f>
        <v>104</v>
      </c>
      <c r="AY31" s="80" t="s">
        <v>1673</v>
      </c>
      <c r="AZ31" s="80" t="s">
        <v>1723</v>
      </c>
      <c r="BA31" s="77" t="s">
        <v>1772</v>
      </c>
      <c r="BC31" s="35">
        <f>AW31+AX31</f>
        <v>104</v>
      </c>
      <c r="BD31" s="35">
        <f>I31/(100-BE31)*100</f>
        <v>52</v>
      </c>
      <c r="BE31" s="35">
        <v>0</v>
      </c>
      <c r="BF31" s="35">
        <f>31</f>
        <v>31</v>
      </c>
      <c r="BH31" s="64">
        <f>H31*AO31</f>
        <v>0</v>
      </c>
      <c r="BI31" s="64">
        <f>H31*AP31</f>
        <v>104</v>
      </c>
      <c r="BJ31" s="64">
        <f>H31*I31</f>
        <v>104</v>
      </c>
      <c r="BK31" s="64" t="s">
        <v>1790</v>
      </c>
      <c r="BL31" s="35">
        <v>62</v>
      </c>
    </row>
    <row r="32" spans="1:64">
      <c r="A32" s="19"/>
      <c r="C32" s="59" t="s">
        <v>730</v>
      </c>
      <c r="D32" s="167" t="s">
        <v>1136</v>
      </c>
      <c r="E32" s="168"/>
      <c r="F32" s="168"/>
      <c r="G32" s="168"/>
      <c r="H32" s="168"/>
      <c r="I32" s="168"/>
      <c r="J32" s="168"/>
      <c r="K32" s="168"/>
      <c r="L32" s="168"/>
      <c r="M32" s="169"/>
      <c r="N32" s="19"/>
    </row>
    <row r="33" spans="1:64">
      <c r="A33" s="47" t="s">
        <v>168</v>
      </c>
      <c r="B33" s="55" t="s">
        <v>59</v>
      </c>
      <c r="C33" s="55" t="s">
        <v>740</v>
      </c>
      <c r="D33" s="165" t="s">
        <v>1135</v>
      </c>
      <c r="E33" s="166"/>
      <c r="F33" s="166"/>
      <c r="G33" s="55" t="s">
        <v>1631</v>
      </c>
      <c r="H33" s="64">
        <v>4</v>
      </c>
      <c r="I33" s="64">
        <v>52</v>
      </c>
      <c r="J33" s="64">
        <f>H33*AO33</f>
        <v>0</v>
      </c>
      <c r="K33" s="64">
        <f>H33*AP33</f>
        <v>208</v>
      </c>
      <c r="L33" s="64">
        <f>H33*I33</f>
        <v>208</v>
      </c>
      <c r="M33" s="73" t="s">
        <v>1657</v>
      </c>
      <c r="N33" s="19"/>
      <c r="Z33" s="35">
        <f>IF(AQ33="5",BJ33,0)</f>
        <v>0</v>
      </c>
      <c r="AB33" s="35">
        <f>IF(AQ33="1",BH33,0)</f>
        <v>0</v>
      </c>
      <c r="AC33" s="35">
        <f>IF(AQ33="1",BI33,0)</f>
        <v>208</v>
      </c>
      <c r="AD33" s="35">
        <f>IF(AQ33="7",BH33,0)</f>
        <v>0</v>
      </c>
      <c r="AE33" s="35">
        <f>IF(AQ33="7",BI33,0)</f>
        <v>0</v>
      </c>
      <c r="AF33" s="35">
        <f>IF(AQ33="2",BH33,0)</f>
        <v>0</v>
      </c>
      <c r="AG33" s="35">
        <f>IF(AQ33="2",BI33,0)</f>
        <v>0</v>
      </c>
      <c r="AH33" s="35">
        <f>IF(AQ33="0",BJ33,0)</f>
        <v>0</v>
      </c>
      <c r="AI33" s="77" t="s">
        <v>59</v>
      </c>
      <c r="AJ33" s="64">
        <f>IF(AN33=0,L33,0)</f>
        <v>0</v>
      </c>
      <c r="AK33" s="64">
        <f>IF(AN33=15,L33,0)</f>
        <v>0</v>
      </c>
      <c r="AL33" s="64">
        <f>IF(AN33=21,L33,0)</f>
        <v>208</v>
      </c>
      <c r="AN33" s="35">
        <v>21</v>
      </c>
      <c r="AO33" s="35">
        <f>I33*0</f>
        <v>0</v>
      </c>
      <c r="AP33" s="35">
        <f>I33*(1-0)</f>
        <v>52</v>
      </c>
      <c r="AQ33" s="78" t="s">
        <v>109</v>
      </c>
      <c r="AV33" s="35">
        <f>AW33+AX33</f>
        <v>208</v>
      </c>
      <c r="AW33" s="35">
        <f>H33*AO33</f>
        <v>0</v>
      </c>
      <c r="AX33" s="35">
        <f>H33*AP33</f>
        <v>208</v>
      </c>
      <c r="AY33" s="80" t="s">
        <v>1673</v>
      </c>
      <c r="AZ33" s="80" t="s">
        <v>1723</v>
      </c>
      <c r="BA33" s="77" t="s">
        <v>1772</v>
      </c>
      <c r="BC33" s="35">
        <f>AW33+AX33</f>
        <v>208</v>
      </c>
      <c r="BD33" s="35">
        <f>I33/(100-BE33)*100</f>
        <v>52</v>
      </c>
      <c r="BE33" s="35">
        <v>0</v>
      </c>
      <c r="BF33" s="35">
        <f>33</f>
        <v>33</v>
      </c>
      <c r="BH33" s="64">
        <f>H33*AO33</f>
        <v>0</v>
      </c>
      <c r="BI33" s="64">
        <f>H33*AP33</f>
        <v>208</v>
      </c>
      <c r="BJ33" s="64">
        <f>H33*I33</f>
        <v>208</v>
      </c>
      <c r="BK33" s="64" t="s">
        <v>1790</v>
      </c>
      <c r="BL33" s="35">
        <v>62</v>
      </c>
    </row>
    <row r="34" spans="1:64">
      <c r="A34" s="19"/>
      <c r="C34" s="59" t="s">
        <v>730</v>
      </c>
      <c r="D34" s="167" t="s">
        <v>1137</v>
      </c>
      <c r="E34" s="168"/>
      <c r="F34" s="168"/>
      <c r="G34" s="168"/>
      <c r="H34" s="168"/>
      <c r="I34" s="168"/>
      <c r="J34" s="168"/>
      <c r="K34" s="168"/>
      <c r="L34" s="168"/>
      <c r="M34" s="169"/>
      <c r="N34" s="19"/>
    </row>
    <row r="35" spans="1:64">
      <c r="A35" s="47" t="s">
        <v>164</v>
      </c>
      <c r="B35" s="55" t="s">
        <v>59</v>
      </c>
      <c r="C35" s="55" t="s">
        <v>741</v>
      </c>
      <c r="D35" s="165" t="s">
        <v>1138</v>
      </c>
      <c r="E35" s="166"/>
      <c r="F35" s="166"/>
      <c r="G35" s="55" t="s">
        <v>1631</v>
      </c>
      <c r="H35" s="64">
        <v>7</v>
      </c>
      <c r="I35" s="64">
        <v>52</v>
      </c>
      <c r="J35" s="64">
        <f>H35*AO35</f>
        <v>0</v>
      </c>
      <c r="K35" s="64">
        <f>H35*AP35</f>
        <v>364</v>
      </c>
      <c r="L35" s="64">
        <f>H35*I35</f>
        <v>364</v>
      </c>
      <c r="M35" s="73" t="s">
        <v>1657</v>
      </c>
      <c r="N35" s="19"/>
      <c r="Z35" s="35">
        <f>IF(AQ35="5",BJ35,0)</f>
        <v>0</v>
      </c>
      <c r="AB35" s="35">
        <f>IF(AQ35="1",BH35,0)</f>
        <v>0</v>
      </c>
      <c r="AC35" s="35">
        <f>IF(AQ35="1",BI35,0)</f>
        <v>364</v>
      </c>
      <c r="AD35" s="35">
        <f>IF(AQ35="7",BH35,0)</f>
        <v>0</v>
      </c>
      <c r="AE35" s="35">
        <f>IF(AQ35="7",BI35,0)</f>
        <v>0</v>
      </c>
      <c r="AF35" s="35">
        <f>IF(AQ35="2",BH35,0)</f>
        <v>0</v>
      </c>
      <c r="AG35" s="35">
        <f>IF(AQ35="2",BI35,0)</f>
        <v>0</v>
      </c>
      <c r="AH35" s="35">
        <f>IF(AQ35="0",BJ35,0)</f>
        <v>0</v>
      </c>
      <c r="AI35" s="77" t="s">
        <v>59</v>
      </c>
      <c r="AJ35" s="64">
        <f>IF(AN35=0,L35,0)</f>
        <v>0</v>
      </c>
      <c r="AK35" s="64">
        <f>IF(AN35=15,L35,0)</f>
        <v>0</v>
      </c>
      <c r="AL35" s="64">
        <f>IF(AN35=21,L35,0)</f>
        <v>364</v>
      </c>
      <c r="AN35" s="35">
        <v>21</v>
      </c>
      <c r="AO35" s="35">
        <f>I35*0</f>
        <v>0</v>
      </c>
      <c r="AP35" s="35">
        <f>I35*(1-0)</f>
        <v>52</v>
      </c>
      <c r="AQ35" s="78" t="s">
        <v>109</v>
      </c>
      <c r="AV35" s="35">
        <f>AW35+AX35</f>
        <v>364</v>
      </c>
      <c r="AW35" s="35">
        <f>H35*AO35</f>
        <v>0</v>
      </c>
      <c r="AX35" s="35">
        <f>H35*AP35</f>
        <v>364</v>
      </c>
      <c r="AY35" s="80" t="s">
        <v>1673</v>
      </c>
      <c r="AZ35" s="80" t="s">
        <v>1723</v>
      </c>
      <c r="BA35" s="77" t="s">
        <v>1772</v>
      </c>
      <c r="BC35" s="35">
        <f>AW35+AX35</f>
        <v>364</v>
      </c>
      <c r="BD35" s="35">
        <f>I35/(100-BE35)*100</f>
        <v>52</v>
      </c>
      <c r="BE35" s="35">
        <v>0</v>
      </c>
      <c r="BF35" s="35">
        <f>35</f>
        <v>35</v>
      </c>
      <c r="BH35" s="64">
        <f>H35*AO35</f>
        <v>0</v>
      </c>
      <c r="BI35" s="64">
        <f>H35*AP35</f>
        <v>364</v>
      </c>
      <c r="BJ35" s="64">
        <f>H35*I35</f>
        <v>364</v>
      </c>
      <c r="BK35" s="64" t="s">
        <v>1790</v>
      </c>
      <c r="BL35" s="35">
        <v>62</v>
      </c>
    </row>
    <row r="36" spans="1:64">
      <c r="A36" s="19"/>
      <c r="C36" s="59" t="s">
        <v>730</v>
      </c>
      <c r="D36" s="167" t="s">
        <v>1139</v>
      </c>
      <c r="E36" s="168"/>
      <c r="F36" s="168"/>
      <c r="G36" s="168"/>
      <c r="H36" s="168"/>
      <c r="I36" s="168"/>
      <c r="J36" s="168"/>
      <c r="K36" s="168"/>
      <c r="L36" s="168"/>
      <c r="M36" s="169"/>
      <c r="N36" s="19"/>
    </row>
    <row r="37" spans="1:64">
      <c r="A37" s="47" t="s">
        <v>237</v>
      </c>
      <c r="B37" s="55" t="s">
        <v>59</v>
      </c>
      <c r="C37" s="55" t="s">
        <v>742</v>
      </c>
      <c r="D37" s="165" t="s">
        <v>1140</v>
      </c>
      <c r="E37" s="166"/>
      <c r="F37" s="166"/>
      <c r="G37" s="55" t="s">
        <v>1633</v>
      </c>
      <c r="H37" s="64">
        <v>302.95</v>
      </c>
      <c r="I37" s="64">
        <v>37</v>
      </c>
      <c r="J37" s="64">
        <f>H37*AO37</f>
        <v>0</v>
      </c>
      <c r="K37" s="64">
        <f>H37*AP37</f>
        <v>11209.15</v>
      </c>
      <c r="L37" s="64">
        <f>H37*I37</f>
        <v>11209.15</v>
      </c>
      <c r="M37" s="73" t="s">
        <v>1657</v>
      </c>
      <c r="N37" s="19"/>
      <c r="Z37" s="35">
        <f>IF(AQ37="5",BJ37,0)</f>
        <v>0</v>
      </c>
      <c r="AB37" s="35">
        <f>IF(AQ37="1",BH37,0)</f>
        <v>0</v>
      </c>
      <c r="AC37" s="35">
        <f>IF(AQ37="1",BI37,0)</f>
        <v>11209.15</v>
      </c>
      <c r="AD37" s="35">
        <f>IF(AQ37="7",BH37,0)</f>
        <v>0</v>
      </c>
      <c r="AE37" s="35">
        <f>IF(AQ37="7",BI37,0)</f>
        <v>0</v>
      </c>
      <c r="AF37" s="35">
        <f>IF(AQ37="2",BH37,0)</f>
        <v>0</v>
      </c>
      <c r="AG37" s="35">
        <f>IF(AQ37="2",BI37,0)</f>
        <v>0</v>
      </c>
      <c r="AH37" s="35">
        <f>IF(AQ37="0",BJ37,0)</f>
        <v>0</v>
      </c>
      <c r="AI37" s="77" t="s">
        <v>59</v>
      </c>
      <c r="AJ37" s="64">
        <f>IF(AN37=0,L37,0)</f>
        <v>0</v>
      </c>
      <c r="AK37" s="64">
        <f>IF(AN37=15,L37,0)</f>
        <v>0</v>
      </c>
      <c r="AL37" s="64">
        <f>IF(AN37=21,L37,0)</f>
        <v>11209.15</v>
      </c>
      <c r="AN37" s="35">
        <v>21</v>
      </c>
      <c r="AO37" s="35">
        <f>I37*0</f>
        <v>0</v>
      </c>
      <c r="AP37" s="35">
        <f>I37*(1-0)</f>
        <v>37</v>
      </c>
      <c r="AQ37" s="78" t="s">
        <v>109</v>
      </c>
      <c r="AV37" s="35">
        <f>AW37+AX37</f>
        <v>11209.15</v>
      </c>
      <c r="AW37" s="35">
        <f>H37*AO37</f>
        <v>0</v>
      </c>
      <c r="AX37" s="35">
        <f>H37*AP37</f>
        <v>11209.15</v>
      </c>
      <c r="AY37" s="80" t="s">
        <v>1673</v>
      </c>
      <c r="AZ37" s="80" t="s">
        <v>1723</v>
      </c>
      <c r="BA37" s="77" t="s">
        <v>1772</v>
      </c>
      <c r="BC37" s="35">
        <f>AW37+AX37</f>
        <v>11209.15</v>
      </c>
      <c r="BD37" s="35">
        <f>I37/(100-BE37)*100</f>
        <v>37</v>
      </c>
      <c r="BE37" s="35">
        <v>0</v>
      </c>
      <c r="BF37" s="35">
        <f>37</f>
        <v>37</v>
      </c>
      <c r="BH37" s="64">
        <f>H37*AO37</f>
        <v>0</v>
      </c>
      <c r="BI37" s="64">
        <f>H37*AP37</f>
        <v>11209.15</v>
      </c>
      <c r="BJ37" s="64">
        <f>H37*I37</f>
        <v>11209.15</v>
      </c>
      <c r="BK37" s="64" t="s">
        <v>1790</v>
      </c>
      <c r="BL37" s="35">
        <v>62</v>
      </c>
    </row>
    <row r="38" spans="1:64">
      <c r="A38" s="48" t="s">
        <v>238</v>
      </c>
      <c r="B38" s="56" t="s">
        <v>59</v>
      </c>
      <c r="C38" s="56" t="s">
        <v>743</v>
      </c>
      <c r="D38" s="170" t="s">
        <v>1141</v>
      </c>
      <c r="E38" s="171"/>
      <c r="F38" s="171"/>
      <c r="G38" s="56" t="s">
        <v>1633</v>
      </c>
      <c r="H38" s="65">
        <v>333.245</v>
      </c>
      <c r="I38" s="65">
        <v>103</v>
      </c>
      <c r="J38" s="65">
        <f>H38*AO38</f>
        <v>34324.235000000001</v>
      </c>
      <c r="K38" s="65">
        <f>H38*AP38</f>
        <v>0</v>
      </c>
      <c r="L38" s="65">
        <f>H38*I38</f>
        <v>34324.235000000001</v>
      </c>
      <c r="M38" s="74" t="s">
        <v>1657</v>
      </c>
      <c r="N38" s="19"/>
      <c r="Z38" s="35">
        <f>IF(AQ38="5",BJ38,0)</f>
        <v>0</v>
      </c>
      <c r="AB38" s="35">
        <f>IF(AQ38="1",BH38,0)</f>
        <v>34324.235000000001</v>
      </c>
      <c r="AC38" s="35">
        <f>IF(AQ38="1",BI38,0)</f>
        <v>0</v>
      </c>
      <c r="AD38" s="35">
        <f>IF(AQ38="7",BH38,0)</f>
        <v>0</v>
      </c>
      <c r="AE38" s="35">
        <f>IF(AQ38="7",BI38,0)</f>
        <v>0</v>
      </c>
      <c r="AF38" s="35">
        <f>IF(AQ38="2",BH38,0)</f>
        <v>0</v>
      </c>
      <c r="AG38" s="35">
        <f>IF(AQ38="2",BI38,0)</f>
        <v>0</v>
      </c>
      <c r="AH38" s="35">
        <f>IF(AQ38="0",BJ38,0)</f>
        <v>0</v>
      </c>
      <c r="AI38" s="77" t="s">
        <v>59</v>
      </c>
      <c r="AJ38" s="65">
        <f>IF(AN38=0,L38,0)</f>
        <v>0</v>
      </c>
      <c r="AK38" s="65">
        <f>IF(AN38=15,L38,0)</f>
        <v>0</v>
      </c>
      <c r="AL38" s="65">
        <f>IF(AN38=21,L38,0)</f>
        <v>34324.235000000001</v>
      </c>
      <c r="AN38" s="35">
        <v>21</v>
      </c>
      <c r="AO38" s="35">
        <f>I38*1</f>
        <v>103</v>
      </c>
      <c r="AP38" s="35">
        <f>I38*(1-1)</f>
        <v>0</v>
      </c>
      <c r="AQ38" s="79" t="s">
        <v>109</v>
      </c>
      <c r="AV38" s="35">
        <f>AW38+AX38</f>
        <v>34324.235000000001</v>
      </c>
      <c r="AW38" s="35">
        <f>H38*AO38</f>
        <v>34324.235000000001</v>
      </c>
      <c r="AX38" s="35">
        <f>H38*AP38</f>
        <v>0</v>
      </c>
      <c r="AY38" s="80" t="s">
        <v>1673</v>
      </c>
      <c r="AZ38" s="80" t="s">
        <v>1723</v>
      </c>
      <c r="BA38" s="77" t="s">
        <v>1772</v>
      </c>
      <c r="BC38" s="35">
        <f>AW38+AX38</f>
        <v>34324.235000000001</v>
      </c>
      <c r="BD38" s="35">
        <f>I38/(100-BE38)*100</f>
        <v>103</v>
      </c>
      <c r="BE38" s="35">
        <v>0</v>
      </c>
      <c r="BF38" s="35">
        <f>38</f>
        <v>38</v>
      </c>
      <c r="BH38" s="65">
        <f>H38*AO38</f>
        <v>34324.235000000001</v>
      </c>
      <c r="BI38" s="65">
        <f>H38*AP38</f>
        <v>0</v>
      </c>
      <c r="BJ38" s="65">
        <f>H38*I38</f>
        <v>34324.235000000001</v>
      </c>
      <c r="BK38" s="65" t="s">
        <v>1642</v>
      </c>
      <c r="BL38" s="35">
        <v>62</v>
      </c>
    </row>
    <row r="39" spans="1:64">
      <c r="A39" s="47" t="s">
        <v>169</v>
      </c>
      <c r="B39" s="55" t="s">
        <v>59</v>
      </c>
      <c r="C39" s="55" t="s">
        <v>744</v>
      </c>
      <c r="D39" s="165" t="s">
        <v>1142</v>
      </c>
      <c r="E39" s="166"/>
      <c r="F39" s="166"/>
      <c r="G39" s="55" t="s">
        <v>1632</v>
      </c>
      <c r="H39" s="64">
        <v>900.98050000000001</v>
      </c>
      <c r="I39" s="64">
        <v>1143</v>
      </c>
      <c r="J39" s="64">
        <f>H39*AO39</f>
        <v>0</v>
      </c>
      <c r="K39" s="64">
        <f>H39*AP39</f>
        <v>1029820.7115</v>
      </c>
      <c r="L39" s="64">
        <f>H39*I39</f>
        <v>1029820.7115</v>
      </c>
      <c r="M39" s="73" t="s">
        <v>1657</v>
      </c>
      <c r="N39" s="19"/>
      <c r="Z39" s="35">
        <f>IF(AQ39="5",BJ39,0)</f>
        <v>0</v>
      </c>
      <c r="AB39" s="35">
        <f>IF(AQ39="1",BH39,0)</f>
        <v>0</v>
      </c>
      <c r="AC39" s="35">
        <f>IF(AQ39="1",BI39,0)</f>
        <v>1029820.7115</v>
      </c>
      <c r="AD39" s="35">
        <f>IF(AQ39="7",BH39,0)</f>
        <v>0</v>
      </c>
      <c r="AE39" s="35">
        <f>IF(AQ39="7",BI39,0)</f>
        <v>0</v>
      </c>
      <c r="AF39" s="35">
        <f>IF(AQ39="2",BH39,0)</f>
        <v>0</v>
      </c>
      <c r="AG39" s="35">
        <f>IF(AQ39="2",BI39,0)</f>
        <v>0</v>
      </c>
      <c r="AH39" s="35">
        <f>IF(AQ39="0",BJ39,0)</f>
        <v>0</v>
      </c>
      <c r="AI39" s="77" t="s">
        <v>59</v>
      </c>
      <c r="AJ39" s="64">
        <f>IF(AN39=0,L39,0)</f>
        <v>0</v>
      </c>
      <c r="AK39" s="64">
        <f>IF(AN39=15,L39,0)</f>
        <v>0</v>
      </c>
      <c r="AL39" s="64">
        <f>IF(AN39=21,L39,0)</f>
        <v>1029820.7115</v>
      </c>
      <c r="AN39" s="35">
        <v>21</v>
      </c>
      <c r="AO39" s="35">
        <f>I39*0</f>
        <v>0</v>
      </c>
      <c r="AP39" s="35">
        <f>I39*(1-0)</f>
        <v>1143</v>
      </c>
      <c r="AQ39" s="78" t="s">
        <v>109</v>
      </c>
      <c r="AV39" s="35">
        <f>AW39+AX39</f>
        <v>1029820.7115</v>
      </c>
      <c r="AW39" s="35">
        <f>H39*AO39</f>
        <v>0</v>
      </c>
      <c r="AX39" s="35">
        <f>H39*AP39</f>
        <v>1029820.7115</v>
      </c>
      <c r="AY39" s="80" t="s">
        <v>1673</v>
      </c>
      <c r="AZ39" s="80" t="s">
        <v>1723</v>
      </c>
      <c r="BA39" s="77" t="s">
        <v>1772</v>
      </c>
      <c r="BC39" s="35">
        <f>AW39+AX39</f>
        <v>1029820.7115</v>
      </c>
      <c r="BD39" s="35">
        <f>I39/(100-BE39)*100</f>
        <v>1143</v>
      </c>
      <c r="BE39" s="35">
        <v>0</v>
      </c>
      <c r="BF39" s="35">
        <f>39</f>
        <v>39</v>
      </c>
      <c r="BH39" s="64">
        <f>H39*AO39</f>
        <v>0</v>
      </c>
      <c r="BI39" s="64">
        <f>H39*AP39</f>
        <v>1029820.7115</v>
      </c>
      <c r="BJ39" s="64">
        <f>H39*I39</f>
        <v>1029820.7115</v>
      </c>
      <c r="BK39" s="64" t="s">
        <v>1790</v>
      </c>
      <c r="BL39" s="35">
        <v>62</v>
      </c>
    </row>
    <row r="40" spans="1:64">
      <c r="A40" s="19"/>
      <c r="C40" s="59" t="s">
        <v>730</v>
      </c>
      <c r="D40" s="167" t="s">
        <v>1143</v>
      </c>
      <c r="E40" s="168"/>
      <c r="F40" s="168"/>
      <c r="G40" s="168"/>
      <c r="H40" s="168"/>
      <c r="I40" s="168"/>
      <c r="J40" s="168"/>
      <c r="K40" s="168"/>
      <c r="L40" s="168"/>
      <c r="M40" s="169"/>
      <c r="N40" s="19"/>
    </row>
    <row r="41" spans="1:64">
      <c r="A41" s="47" t="s">
        <v>170</v>
      </c>
      <c r="B41" s="55" t="s">
        <v>59</v>
      </c>
      <c r="C41" s="55" t="s">
        <v>745</v>
      </c>
      <c r="D41" s="165" t="s">
        <v>1144</v>
      </c>
      <c r="E41" s="166"/>
      <c r="F41" s="166"/>
      <c r="G41" s="55" t="s">
        <v>1632</v>
      </c>
      <c r="H41" s="64">
        <v>275.04950000000002</v>
      </c>
      <c r="I41" s="64">
        <v>1548</v>
      </c>
      <c r="J41" s="64">
        <f>H41*AO41</f>
        <v>0</v>
      </c>
      <c r="K41" s="64">
        <f>H41*AP41</f>
        <v>425776.62600000005</v>
      </c>
      <c r="L41" s="64">
        <f>H41*I41</f>
        <v>425776.62600000005</v>
      </c>
      <c r="M41" s="73" t="s">
        <v>1657</v>
      </c>
      <c r="N41" s="19"/>
      <c r="Z41" s="35">
        <f>IF(AQ41="5",BJ41,0)</f>
        <v>0</v>
      </c>
      <c r="AB41" s="35">
        <f>IF(AQ41="1",BH41,0)</f>
        <v>0</v>
      </c>
      <c r="AC41" s="35">
        <f>IF(AQ41="1",BI41,0)</f>
        <v>425776.62600000005</v>
      </c>
      <c r="AD41" s="35">
        <f>IF(AQ41="7",BH41,0)</f>
        <v>0</v>
      </c>
      <c r="AE41" s="35">
        <f>IF(AQ41="7",BI41,0)</f>
        <v>0</v>
      </c>
      <c r="AF41" s="35">
        <f>IF(AQ41="2",BH41,0)</f>
        <v>0</v>
      </c>
      <c r="AG41" s="35">
        <f>IF(AQ41="2",BI41,0)</f>
        <v>0</v>
      </c>
      <c r="AH41" s="35">
        <f>IF(AQ41="0",BJ41,0)</f>
        <v>0</v>
      </c>
      <c r="AI41" s="77" t="s">
        <v>59</v>
      </c>
      <c r="AJ41" s="64">
        <f>IF(AN41=0,L41,0)</f>
        <v>0</v>
      </c>
      <c r="AK41" s="64">
        <f>IF(AN41=15,L41,0)</f>
        <v>0</v>
      </c>
      <c r="AL41" s="64">
        <f>IF(AN41=21,L41,0)</f>
        <v>425776.62600000005</v>
      </c>
      <c r="AN41" s="35">
        <v>21</v>
      </c>
      <c r="AO41" s="35">
        <f>I41*0</f>
        <v>0</v>
      </c>
      <c r="AP41" s="35">
        <f>I41*(1-0)</f>
        <v>1548</v>
      </c>
      <c r="AQ41" s="78" t="s">
        <v>109</v>
      </c>
      <c r="AV41" s="35">
        <f>AW41+AX41</f>
        <v>425776.62600000005</v>
      </c>
      <c r="AW41" s="35">
        <f>H41*AO41</f>
        <v>0</v>
      </c>
      <c r="AX41" s="35">
        <f>H41*AP41</f>
        <v>425776.62600000005</v>
      </c>
      <c r="AY41" s="80" t="s">
        <v>1673</v>
      </c>
      <c r="AZ41" s="80" t="s">
        <v>1723</v>
      </c>
      <c r="BA41" s="77" t="s">
        <v>1772</v>
      </c>
      <c r="BC41" s="35">
        <f>AW41+AX41</f>
        <v>425776.62600000005</v>
      </c>
      <c r="BD41" s="35">
        <f>I41/(100-BE41)*100</f>
        <v>1548</v>
      </c>
      <c r="BE41" s="35">
        <v>0</v>
      </c>
      <c r="BF41" s="35">
        <f>41</f>
        <v>41</v>
      </c>
      <c r="BH41" s="64">
        <f>H41*AO41</f>
        <v>0</v>
      </c>
      <c r="BI41" s="64">
        <f>H41*AP41</f>
        <v>425776.62600000005</v>
      </c>
      <c r="BJ41" s="64">
        <f>H41*I41</f>
        <v>425776.62600000005</v>
      </c>
      <c r="BK41" s="64" t="s">
        <v>1790</v>
      </c>
      <c r="BL41" s="35">
        <v>62</v>
      </c>
    </row>
    <row r="42" spans="1:64">
      <c r="A42" s="19"/>
      <c r="C42" s="59" t="s">
        <v>730</v>
      </c>
      <c r="D42" s="167" t="s">
        <v>1143</v>
      </c>
      <c r="E42" s="168"/>
      <c r="F42" s="168"/>
      <c r="G42" s="168"/>
      <c r="H42" s="168"/>
      <c r="I42" s="168"/>
      <c r="J42" s="168"/>
      <c r="K42" s="168"/>
      <c r="L42" s="168"/>
      <c r="M42" s="169"/>
      <c r="N42" s="19"/>
    </row>
    <row r="43" spans="1:64">
      <c r="A43" s="47" t="s">
        <v>171</v>
      </c>
      <c r="B43" s="55" t="s">
        <v>59</v>
      </c>
      <c r="C43" s="55" t="s">
        <v>746</v>
      </c>
      <c r="D43" s="165" t="s">
        <v>1145</v>
      </c>
      <c r="E43" s="166"/>
      <c r="F43" s="166"/>
      <c r="G43" s="55" t="s">
        <v>1632</v>
      </c>
      <c r="H43" s="64">
        <v>48.25</v>
      </c>
      <c r="I43" s="64">
        <v>835</v>
      </c>
      <c r="J43" s="64">
        <f>H43*AO43</f>
        <v>0</v>
      </c>
      <c r="K43" s="64">
        <f>H43*AP43</f>
        <v>40288.75</v>
      </c>
      <c r="L43" s="64">
        <f>H43*I43</f>
        <v>40288.75</v>
      </c>
      <c r="M43" s="73" t="s">
        <v>1657</v>
      </c>
      <c r="N43" s="19"/>
      <c r="Z43" s="35">
        <f>IF(AQ43="5",BJ43,0)</f>
        <v>0</v>
      </c>
      <c r="AB43" s="35">
        <f>IF(AQ43="1",BH43,0)</f>
        <v>0</v>
      </c>
      <c r="AC43" s="35">
        <f>IF(AQ43="1",BI43,0)</f>
        <v>40288.75</v>
      </c>
      <c r="AD43" s="35">
        <f>IF(AQ43="7",BH43,0)</f>
        <v>0</v>
      </c>
      <c r="AE43" s="35">
        <f>IF(AQ43="7",BI43,0)</f>
        <v>0</v>
      </c>
      <c r="AF43" s="35">
        <f>IF(AQ43="2",BH43,0)</f>
        <v>0</v>
      </c>
      <c r="AG43" s="35">
        <f>IF(AQ43="2",BI43,0)</f>
        <v>0</v>
      </c>
      <c r="AH43" s="35">
        <f>IF(AQ43="0",BJ43,0)</f>
        <v>0</v>
      </c>
      <c r="AI43" s="77" t="s">
        <v>59</v>
      </c>
      <c r="AJ43" s="64">
        <f>IF(AN43=0,L43,0)</f>
        <v>0</v>
      </c>
      <c r="AK43" s="64">
        <f>IF(AN43=15,L43,0)</f>
        <v>0</v>
      </c>
      <c r="AL43" s="64">
        <f>IF(AN43=21,L43,0)</f>
        <v>40288.75</v>
      </c>
      <c r="AN43" s="35">
        <v>21</v>
      </c>
      <c r="AO43" s="35">
        <f>I43*0</f>
        <v>0</v>
      </c>
      <c r="AP43" s="35">
        <f>I43*(1-0)</f>
        <v>835</v>
      </c>
      <c r="AQ43" s="78" t="s">
        <v>109</v>
      </c>
      <c r="AV43" s="35">
        <f>AW43+AX43</f>
        <v>40288.75</v>
      </c>
      <c r="AW43" s="35">
        <f>H43*AO43</f>
        <v>0</v>
      </c>
      <c r="AX43" s="35">
        <f>H43*AP43</f>
        <v>40288.75</v>
      </c>
      <c r="AY43" s="80" t="s">
        <v>1673</v>
      </c>
      <c r="AZ43" s="80" t="s">
        <v>1723</v>
      </c>
      <c r="BA43" s="77" t="s">
        <v>1772</v>
      </c>
      <c r="BC43" s="35">
        <f>AW43+AX43</f>
        <v>40288.75</v>
      </c>
      <c r="BD43" s="35">
        <f>I43/(100-BE43)*100</f>
        <v>835</v>
      </c>
      <c r="BE43" s="35">
        <v>0</v>
      </c>
      <c r="BF43" s="35">
        <f>43</f>
        <v>43</v>
      </c>
      <c r="BH43" s="64">
        <f>H43*AO43</f>
        <v>0</v>
      </c>
      <c r="BI43" s="64">
        <f>H43*AP43</f>
        <v>40288.75</v>
      </c>
      <c r="BJ43" s="64">
        <f>H43*I43</f>
        <v>40288.75</v>
      </c>
      <c r="BK43" s="64" t="s">
        <v>1790</v>
      </c>
      <c r="BL43" s="35">
        <v>62</v>
      </c>
    </row>
    <row r="44" spans="1:64">
      <c r="A44" s="48" t="s">
        <v>239</v>
      </c>
      <c r="B44" s="56" t="s">
        <v>59</v>
      </c>
      <c r="C44" s="56" t="s">
        <v>747</v>
      </c>
      <c r="D44" s="170" t="s">
        <v>1146</v>
      </c>
      <c r="E44" s="171"/>
      <c r="F44" s="171"/>
      <c r="G44" s="56" t="s">
        <v>1633</v>
      </c>
      <c r="H44" s="65">
        <v>62.865000000000002</v>
      </c>
      <c r="I44" s="65">
        <v>17</v>
      </c>
      <c r="J44" s="65">
        <f>H44*AO44</f>
        <v>1068.7049999999999</v>
      </c>
      <c r="K44" s="65">
        <f>H44*AP44</f>
        <v>0</v>
      </c>
      <c r="L44" s="65">
        <f>H44*I44</f>
        <v>1068.7049999999999</v>
      </c>
      <c r="M44" s="74" t="s">
        <v>1658</v>
      </c>
      <c r="N44" s="19"/>
      <c r="Z44" s="35">
        <f>IF(AQ44="5",BJ44,0)</f>
        <v>0</v>
      </c>
      <c r="AB44" s="35">
        <f>IF(AQ44="1",BH44,0)</f>
        <v>1068.7049999999999</v>
      </c>
      <c r="AC44" s="35">
        <f>IF(AQ44="1",BI44,0)</f>
        <v>0</v>
      </c>
      <c r="AD44" s="35">
        <f>IF(AQ44="7",BH44,0)</f>
        <v>0</v>
      </c>
      <c r="AE44" s="35">
        <f>IF(AQ44="7",BI44,0)</f>
        <v>0</v>
      </c>
      <c r="AF44" s="35">
        <f>IF(AQ44="2",BH44,0)</f>
        <v>0</v>
      </c>
      <c r="AG44" s="35">
        <f>IF(AQ44="2",BI44,0)</f>
        <v>0</v>
      </c>
      <c r="AH44" s="35">
        <f>IF(AQ44="0",BJ44,0)</f>
        <v>0</v>
      </c>
      <c r="AI44" s="77" t="s">
        <v>59</v>
      </c>
      <c r="AJ44" s="65">
        <f>IF(AN44=0,L44,0)</f>
        <v>0</v>
      </c>
      <c r="AK44" s="65">
        <f>IF(AN44=15,L44,0)</f>
        <v>0</v>
      </c>
      <c r="AL44" s="65">
        <f>IF(AN44=21,L44,0)</f>
        <v>1068.7049999999999</v>
      </c>
      <c r="AN44" s="35">
        <v>21</v>
      </c>
      <c r="AO44" s="35">
        <f>I44*1</f>
        <v>17</v>
      </c>
      <c r="AP44" s="35">
        <f>I44*(1-1)</f>
        <v>0</v>
      </c>
      <c r="AQ44" s="79" t="s">
        <v>109</v>
      </c>
      <c r="AV44" s="35">
        <f>AW44+AX44</f>
        <v>1068.7049999999999</v>
      </c>
      <c r="AW44" s="35">
        <f>H44*AO44</f>
        <v>1068.7049999999999</v>
      </c>
      <c r="AX44" s="35">
        <f>H44*AP44</f>
        <v>0</v>
      </c>
      <c r="AY44" s="80" t="s">
        <v>1673</v>
      </c>
      <c r="AZ44" s="80" t="s">
        <v>1723</v>
      </c>
      <c r="BA44" s="77" t="s">
        <v>1772</v>
      </c>
      <c r="BC44" s="35">
        <f>AW44+AX44</f>
        <v>1068.7049999999999</v>
      </c>
      <c r="BD44" s="35">
        <f>I44/(100-BE44)*100</f>
        <v>17</v>
      </c>
      <c r="BE44" s="35">
        <v>0</v>
      </c>
      <c r="BF44" s="35">
        <f>44</f>
        <v>44</v>
      </c>
      <c r="BH44" s="65">
        <f>H44*AO44</f>
        <v>1068.7049999999999</v>
      </c>
      <c r="BI44" s="65">
        <f>H44*AP44</f>
        <v>0</v>
      </c>
      <c r="BJ44" s="65">
        <f>H44*I44</f>
        <v>1068.7049999999999</v>
      </c>
      <c r="BK44" s="65" t="s">
        <v>1642</v>
      </c>
      <c r="BL44" s="35">
        <v>62</v>
      </c>
    </row>
    <row r="45" spans="1:64">
      <c r="A45" s="47" t="s">
        <v>240</v>
      </c>
      <c r="B45" s="55" t="s">
        <v>59</v>
      </c>
      <c r="C45" s="55" t="s">
        <v>748</v>
      </c>
      <c r="D45" s="165" t="s">
        <v>1147</v>
      </c>
      <c r="E45" s="166"/>
      <c r="F45" s="166"/>
      <c r="G45" s="55" t="s">
        <v>1632</v>
      </c>
      <c r="H45" s="64">
        <v>18.54</v>
      </c>
      <c r="I45" s="64">
        <v>1728</v>
      </c>
      <c r="J45" s="64">
        <f>H45*AO45</f>
        <v>0</v>
      </c>
      <c r="K45" s="64">
        <f>H45*AP45</f>
        <v>32037.119999999999</v>
      </c>
      <c r="L45" s="64">
        <f>H45*I45</f>
        <v>32037.119999999999</v>
      </c>
      <c r="M45" s="73" t="s">
        <v>1657</v>
      </c>
      <c r="N45" s="19"/>
      <c r="Z45" s="35">
        <f>IF(AQ45="5",BJ45,0)</f>
        <v>0</v>
      </c>
      <c r="AB45" s="35">
        <f>IF(AQ45="1",BH45,0)</f>
        <v>0</v>
      </c>
      <c r="AC45" s="35">
        <f>IF(AQ45="1",BI45,0)</f>
        <v>32037.119999999999</v>
      </c>
      <c r="AD45" s="35">
        <f>IF(AQ45="7",BH45,0)</f>
        <v>0</v>
      </c>
      <c r="AE45" s="35">
        <f>IF(AQ45="7",BI45,0)</f>
        <v>0</v>
      </c>
      <c r="AF45" s="35">
        <f>IF(AQ45="2",BH45,0)</f>
        <v>0</v>
      </c>
      <c r="AG45" s="35">
        <f>IF(AQ45="2",BI45,0)</f>
        <v>0</v>
      </c>
      <c r="AH45" s="35">
        <f>IF(AQ45="0",BJ45,0)</f>
        <v>0</v>
      </c>
      <c r="AI45" s="77" t="s">
        <v>59</v>
      </c>
      <c r="AJ45" s="64">
        <f>IF(AN45=0,L45,0)</f>
        <v>0</v>
      </c>
      <c r="AK45" s="64">
        <f>IF(AN45=15,L45,0)</f>
        <v>0</v>
      </c>
      <c r="AL45" s="64">
        <f>IF(AN45=21,L45,0)</f>
        <v>32037.119999999999</v>
      </c>
      <c r="AN45" s="35">
        <v>21</v>
      </c>
      <c r="AO45" s="35">
        <f>I45*0</f>
        <v>0</v>
      </c>
      <c r="AP45" s="35">
        <f>I45*(1-0)</f>
        <v>1728</v>
      </c>
      <c r="AQ45" s="78" t="s">
        <v>109</v>
      </c>
      <c r="AV45" s="35">
        <f>AW45+AX45</f>
        <v>32037.119999999999</v>
      </c>
      <c r="AW45" s="35">
        <f>H45*AO45</f>
        <v>0</v>
      </c>
      <c r="AX45" s="35">
        <f>H45*AP45</f>
        <v>32037.119999999999</v>
      </c>
      <c r="AY45" s="80" t="s">
        <v>1673</v>
      </c>
      <c r="AZ45" s="80" t="s">
        <v>1723</v>
      </c>
      <c r="BA45" s="77" t="s">
        <v>1772</v>
      </c>
      <c r="BC45" s="35">
        <f>AW45+AX45</f>
        <v>32037.119999999999</v>
      </c>
      <c r="BD45" s="35">
        <f>I45/(100-BE45)*100</f>
        <v>1728</v>
      </c>
      <c r="BE45" s="35">
        <v>0</v>
      </c>
      <c r="BF45" s="35">
        <f>45</f>
        <v>45</v>
      </c>
      <c r="BH45" s="64">
        <f>H45*AO45</f>
        <v>0</v>
      </c>
      <c r="BI45" s="64">
        <f>H45*AP45</f>
        <v>32037.119999999999</v>
      </c>
      <c r="BJ45" s="64">
        <f>H45*I45</f>
        <v>32037.119999999999</v>
      </c>
      <c r="BK45" s="64" t="s">
        <v>1790</v>
      </c>
      <c r="BL45" s="35">
        <v>62</v>
      </c>
    </row>
    <row r="46" spans="1:64">
      <c r="A46" s="19"/>
      <c r="C46" s="59" t="s">
        <v>730</v>
      </c>
      <c r="D46" s="167" t="s">
        <v>1143</v>
      </c>
      <c r="E46" s="168"/>
      <c r="F46" s="168"/>
      <c r="G46" s="168"/>
      <c r="H46" s="168"/>
      <c r="I46" s="168"/>
      <c r="J46" s="168"/>
      <c r="K46" s="168"/>
      <c r="L46" s="168"/>
      <c r="M46" s="169"/>
      <c r="N46" s="19"/>
    </row>
    <row r="47" spans="1:64">
      <c r="A47" s="47" t="s">
        <v>172</v>
      </c>
      <c r="B47" s="55" t="s">
        <v>59</v>
      </c>
      <c r="C47" s="55" t="s">
        <v>749</v>
      </c>
      <c r="D47" s="165" t="s">
        <v>1148</v>
      </c>
      <c r="E47" s="166"/>
      <c r="F47" s="166"/>
      <c r="G47" s="55" t="s">
        <v>1632</v>
      </c>
      <c r="H47" s="64">
        <v>55.29</v>
      </c>
      <c r="I47" s="64">
        <v>2240</v>
      </c>
      <c r="J47" s="64">
        <f>H47*AO47</f>
        <v>0</v>
      </c>
      <c r="K47" s="64">
        <f>H47*AP47</f>
        <v>123849.59999999999</v>
      </c>
      <c r="L47" s="64">
        <f>H47*I47</f>
        <v>123849.59999999999</v>
      </c>
      <c r="M47" s="73" t="s">
        <v>1657</v>
      </c>
      <c r="N47" s="19"/>
      <c r="Z47" s="35">
        <f>IF(AQ47="5",BJ47,0)</f>
        <v>0</v>
      </c>
      <c r="AB47" s="35">
        <f>IF(AQ47="1",BH47,0)</f>
        <v>0</v>
      </c>
      <c r="AC47" s="35">
        <f>IF(AQ47="1",BI47,0)</f>
        <v>123849.59999999999</v>
      </c>
      <c r="AD47" s="35">
        <f>IF(AQ47="7",BH47,0)</f>
        <v>0</v>
      </c>
      <c r="AE47" s="35">
        <f>IF(AQ47="7",BI47,0)</f>
        <v>0</v>
      </c>
      <c r="AF47" s="35">
        <f>IF(AQ47="2",BH47,0)</f>
        <v>0</v>
      </c>
      <c r="AG47" s="35">
        <f>IF(AQ47="2",BI47,0)</f>
        <v>0</v>
      </c>
      <c r="AH47" s="35">
        <f>IF(AQ47="0",BJ47,0)</f>
        <v>0</v>
      </c>
      <c r="AI47" s="77" t="s">
        <v>59</v>
      </c>
      <c r="AJ47" s="64">
        <f>IF(AN47=0,L47,0)</f>
        <v>0</v>
      </c>
      <c r="AK47" s="64">
        <f>IF(AN47=15,L47,0)</f>
        <v>0</v>
      </c>
      <c r="AL47" s="64">
        <f>IF(AN47=21,L47,0)</f>
        <v>123849.59999999999</v>
      </c>
      <c r="AN47" s="35">
        <v>21</v>
      </c>
      <c r="AO47" s="35">
        <f>I47*0</f>
        <v>0</v>
      </c>
      <c r="AP47" s="35">
        <f>I47*(1-0)</f>
        <v>2240</v>
      </c>
      <c r="AQ47" s="78" t="s">
        <v>109</v>
      </c>
      <c r="AV47" s="35">
        <f>AW47+AX47</f>
        <v>123849.59999999999</v>
      </c>
      <c r="AW47" s="35">
        <f>H47*AO47</f>
        <v>0</v>
      </c>
      <c r="AX47" s="35">
        <f>H47*AP47</f>
        <v>123849.59999999999</v>
      </c>
      <c r="AY47" s="80" t="s">
        <v>1673</v>
      </c>
      <c r="AZ47" s="80" t="s">
        <v>1723</v>
      </c>
      <c r="BA47" s="77" t="s">
        <v>1772</v>
      </c>
      <c r="BC47" s="35">
        <f>AW47+AX47</f>
        <v>123849.59999999999</v>
      </c>
      <c r="BD47" s="35">
        <f>I47/(100-BE47)*100</f>
        <v>2240</v>
      </c>
      <c r="BE47" s="35">
        <v>0</v>
      </c>
      <c r="BF47" s="35">
        <f>47</f>
        <v>47</v>
      </c>
      <c r="BH47" s="64">
        <f>H47*AO47</f>
        <v>0</v>
      </c>
      <c r="BI47" s="64">
        <f>H47*AP47</f>
        <v>123849.59999999999</v>
      </c>
      <c r="BJ47" s="64">
        <f>H47*I47</f>
        <v>123849.59999999999</v>
      </c>
      <c r="BK47" s="64" t="s">
        <v>1790</v>
      </c>
      <c r="BL47" s="35">
        <v>62</v>
      </c>
    </row>
    <row r="48" spans="1:64">
      <c r="A48" s="19"/>
      <c r="C48" s="59" t="s">
        <v>730</v>
      </c>
      <c r="D48" s="167" t="s">
        <v>1143</v>
      </c>
      <c r="E48" s="168"/>
      <c r="F48" s="168"/>
      <c r="G48" s="168"/>
      <c r="H48" s="168"/>
      <c r="I48" s="168"/>
      <c r="J48" s="168"/>
      <c r="K48" s="168"/>
      <c r="L48" s="168"/>
      <c r="M48" s="169"/>
      <c r="N48" s="19"/>
    </row>
    <row r="49" spans="1:64">
      <c r="A49" s="47" t="s">
        <v>241</v>
      </c>
      <c r="B49" s="55" t="s">
        <v>59</v>
      </c>
      <c r="C49" s="55" t="s">
        <v>750</v>
      </c>
      <c r="D49" s="165" t="s">
        <v>1149</v>
      </c>
      <c r="E49" s="166"/>
      <c r="F49" s="166"/>
      <c r="G49" s="55" t="s">
        <v>1632</v>
      </c>
      <c r="H49" s="64">
        <v>60.933</v>
      </c>
      <c r="I49" s="64">
        <v>81</v>
      </c>
      <c r="J49" s="64">
        <f>H49*AO49</f>
        <v>0</v>
      </c>
      <c r="K49" s="64">
        <f>H49*AP49</f>
        <v>4935.5730000000003</v>
      </c>
      <c r="L49" s="64">
        <f>H49*I49</f>
        <v>4935.5730000000003</v>
      </c>
      <c r="M49" s="73" t="s">
        <v>1657</v>
      </c>
      <c r="N49" s="19"/>
      <c r="Z49" s="35">
        <f>IF(AQ49="5",BJ49,0)</f>
        <v>0</v>
      </c>
      <c r="AB49" s="35">
        <f>IF(AQ49="1",BH49,0)</f>
        <v>0</v>
      </c>
      <c r="AC49" s="35">
        <f>IF(AQ49="1",BI49,0)</f>
        <v>4935.5730000000003</v>
      </c>
      <c r="AD49" s="35">
        <f>IF(AQ49="7",BH49,0)</f>
        <v>0</v>
      </c>
      <c r="AE49" s="35">
        <f>IF(AQ49="7",BI49,0)</f>
        <v>0</v>
      </c>
      <c r="AF49" s="35">
        <f>IF(AQ49="2",BH49,0)</f>
        <v>0</v>
      </c>
      <c r="AG49" s="35">
        <f>IF(AQ49="2",BI49,0)</f>
        <v>0</v>
      </c>
      <c r="AH49" s="35">
        <f>IF(AQ49="0",BJ49,0)</f>
        <v>0</v>
      </c>
      <c r="AI49" s="77" t="s">
        <v>59</v>
      </c>
      <c r="AJ49" s="64">
        <f>IF(AN49=0,L49,0)</f>
        <v>0</v>
      </c>
      <c r="AK49" s="64">
        <f>IF(AN49=15,L49,0)</f>
        <v>0</v>
      </c>
      <c r="AL49" s="64">
        <f>IF(AN49=21,L49,0)</f>
        <v>4935.5730000000003</v>
      </c>
      <c r="AN49" s="35">
        <v>21</v>
      </c>
      <c r="AO49" s="35">
        <f>I49*0</f>
        <v>0</v>
      </c>
      <c r="AP49" s="35">
        <f>I49*(1-0)</f>
        <v>81</v>
      </c>
      <c r="AQ49" s="78" t="s">
        <v>109</v>
      </c>
      <c r="AV49" s="35">
        <f>AW49+AX49</f>
        <v>4935.5730000000003</v>
      </c>
      <c r="AW49" s="35">
        <f>H49*AO49</f>
        <v>0</v>
      </c>
      <c r="AX49" s="35">
        <f>H49*AP49</f>
        <v>4935.5730000000003</v>
      </c>
      <c r="AY49" s="80" t="s">
        <v>1673</v>
      </c>
      <c r="AZ49" s="80" t="s">
        <v>1723</v>
      </c>
      <c r="BA49" s="77" t="s">
        <v>1772</v>
      </c>
      <c r="BC49" s="35">
        <f>AW49+AX49</f>
        <v>4935.5730000000003</v>
      </c>
      <c r="BD49" s="35">
        <f>I49/(100-BE49)*100</f>
        <v>81</v>
      </c>
      <c r="BE49" s="35">
        <v>0</v>
      </c>
      <c r="BF49" s="35">
        <f>49</f>
        <v>49</v>
      </c>
      <c r="BH49" s="64">
        <f>H49*AO49</f>
        <v>0</v>
      </c>
      <c r="BI49" s="64">
        <f>H49*AP49</f>
        <v>4935.5730000000003</v>
      </c>
      <c r="BJ49" s="64">
        <f>H49*I49</f>
        <v>4935.5730000000003</v>
      </c>
      <c r="BK49" s="64" t="s">
        <v>1790</v>
      </c>
      <c r="BL49" s="35">
        <v>62</v>
      </c>
    </row>
    <row r="50" spans="1:64">
      <c r="A50" s="46"/>
      <c r="B50" s="54" t="s">
        <v>59</v>
      </c>
      <c r="C50" s="54" t="s">
        <v>135</v>
      </c>
      <c r="D50" s="163" t="s">
        <v>186</v>
      </c>
      <c r="E50" s="164"/>
      <c r="F50" s="164"/>
      <c r="G50" s="61" t="s">
        <v>57</v>
      </c>
      <c r="H50" s="61" t="s">
        <v>57</v>
      </c>
      <c r="I50" s="61" t="s">
        <v>57</v>
      </c>
      <c r="J50" s="83">
        <f>SUM(J51:J60)</f>
        <v>0</v>
      </c>
      <c r="K50" s="83">
        <f>SUM(K51:K60)</f>
        <v>118379.48976999999</v>
      </c>
      <c r="L50" s="83">
        <f>SUM(L51:L60)</f>
        <v>118379.48976999999</v>
      </c>
      <c r="M50" s="72"/>
      <c r="N50" s="19"/>
      <c r="AI50" s="77" t="s">
        <v>59</v>
      </c>
      <c r="AS50" s="83">
        <f>SUM(AJ51:AJ60)</f>
        <v>0</v>
      </c>
      <c r="AT50" s="83">
        <f>SUM(AK51:AK60)</f>
        <v>0</v>
      </c>
      <c r="AU50" s="83">
        <f>SUM(AL51:AL60)</f>
        <v>118379.48976999999</v>
      </c>
    </row>
    <row r="51" spans="1:64">
      <c r="A51" s="47" t="s">
        <v>242</v>
      </c>
      <c r="B51" s="55" t="s">
        <v>59</v>
      </c>
      <c r="C51" s="55" t="s">
        <v>751</v>
      </c>
      <c r="D51" s="165" t="s">
        <v>1150</v>
      </c>
      <c r="E51" s="166"/>
      <c r="F51" s="166"/>
      <c r="G51" s="55" t="s">
        <v>1633</v>
      </c>
      <c r="H51" s="64">
        <v>50.4</v>
      </c>
      <c r="I51" s="64">
        <v>410</v>
      </c>
      <c r="J51" s="64">
        <f>H51*AO51</f>
        <v>0</v>
      </c>
      <c r="K51" s="64">
        <f>H51*AP51</f>
        <v>20664</v>
      </c>
      <c r="L51" s="64">
        <f>H51*I51</f>
        <v>20664</v>
      </c>
      <c r="M51" s="73" t="s">
        <v>1657</v>
      </c>
      <c r="N51" s="19"/>
      <c r="Z51" s="35">
        <f>IF(AQ51="5",BJ51,0)</f>
        <v>0</v>
      </c>
      <c r="AB51" s="35">
        <f>IF(AQ51="1",BH51,0)</f>
        <v>0</v>
      </c>
      <c r="AC51" s="35">
        <f>IF(AQ51="1",BI51,0)</f>
        <v>0</v>
      </c>
      <c r="AD51" s="35">
        <f>IF(AQ51="7",BH51,0)</f>
        <v>0</v>
      </c>
      <c r="AE51" s="35">
        <f>IF(AQ51="7",BI51,0)</f>
        <v>20664</v>
      </c>
      <c r="AF51" s="35">
        <f>IF(AQ51="2",BH51,0)</f>
        <v>0</v>
      </c>
      <c r="AG51" s="35">
        <f>IF(AQ51="2",BI51,0)</f>
        <v>0</v>
      </c>
      <c r="AH51" s="35">
        <f>IF(AQ51="0",BJ51,0)</f>
        <v>0</v>
      </c>
      <c r="AI51" s="77" t="s">
        <v>59</v>
      </c>
      <c r="AJ51" s="64">
        <f>IF(AN51=0,L51,0)</f>
        <v>0</v>
      </c>
      <c r="AK51" s="64">
        <f>IF(AN51=15,L51,0)</f>
        <v>0</v>
      </c>
      <c r="AL51" s="64">
        <f>IF(AN51=21,L51,0)</f>
        <v>20664</v>
      </c>
      <c r="AN51" s="35">
        <v>21</v>
      </c>
      <c r="AO51" s="35">
        <f>I51*0</f>
        <v>0</v>
      </c>
      <c r="AP51" s="35">
        <f>I51*(1-0)</f>
        <v>410</v>
      </c>
      <c r="AQ51" s="78" t="s">
        <v>235</v>
      </c>
      <c r="AV51" s="35">
        <f>AW51+AX51</f>
        <v>20664</v>
      </c>
      <c r="AW51" s="35">
        <f>H51*AO51</f>
        <v>0</v>
      </c>
      <c r="AX51" s="35">
        <f>H51*AP51</f>
        <v>20664</v>
      </c>
      <c r="AY51" s="80" t="s">
        <v>1674</v>
      </c>
      <c r="AZ51" s="80" t="s">
        <v>1724</v>
      </c>
      <c r="BA51" s="77" t="s">
        <v>1772</v>
      </c>
      <c r="BC51" s="35">
        <f>AW51+AX51</f>
        <v>20664</v>
      </c>
      <c r="BD51" s="35">
        <f>I51/(100-BE51)*100</f>
        <v>409.99999999999994</v>
      </c>
      <c r="BE51" s="35">
        <v>0</v>
      </c>
      <c r="BF51" s="35">
        <f>51</f>
        <v>51</v>
      </c>
      <c r="BH51" s="64">
        <f>H51*AO51</f>
        <v>0</v>
      </c>
      <c r="BI51" s="64">
        <f>H51*AP51</f>
        <v>20664</v>
      </c>
      <c r="BJ51" s="64">
        <f>H51*I51</f>
        <v>20664</v>
      </c>
      <c r="BK51" s="64" t="s">
        <v>1790</v>
      </c>
      <c r="BL51" s="35">
        <v>764</v>
      </c>
    </row>
    <row r="52" spans="1:64">
      <c r="A52" s="47" t="s">
        <v>243</v>
      </c>
      <c r="B52" s="55" t="s">
        <v>59</v>
      </c>
      <c r="C52" s="55" t="s">
        <v>752</v>
      </c>
      <c r="D52" s="165" t="s">
        <v>1151</v>
      </c>
      <c r="E52" s="166"/>
      <c r="F52" s="166"/>
      <c r="G52" s="55" t="s">
        <v>1633</v>
      </c>
      <c r="H52" s="64">
        <v>58.84</v>
      </c>
      <c r="I52" s="64">
        <v>44</v>
      </c>
      <c r="J52" s="64">
        <f>H52*AO52</f>
        <v>0</v>
      </c>
      <c r="K52" s="64">
        <f>H52*AP52</f>
        <v>2588.96</v>
      </c>
      <c r="L52" s="64">
        <f>H52*I52</f>
        <v>2588.96</v>
      </c>
      <c r="M52" s="73" t="s">
        <v>1657</v>
      </c>
      <c r="N52" s="19"/>
      <c r="Z52" s="35">
        <f>IF(AQ52="5",BJ52,0)</f>
        <v>0</v>
      </c>
      <c r="AB52" s="35">
        <f>IF(AQ52="1",BH52,0)</f>
        <v>0</v>
      </c>
      <c r="AC52" s="35">
        <f>IF(AQ52="1",BI52,0)</f>
        <v>0</v>
      </c>
      <c r="AD52" s="35">
        <f>IF(AQ52="7",BH52,0)</f>
        <v>0</v>
      </c>
      <c r="AE52" s="35">
        <f>IF(AQ52="7",BI52,0)</f>
        <v>2588.96</v>
      </c>
      <c r="AF52" s="35">
        <f>IF(AQ52="2",BH52,0)</f>
        <v>0</v>
      </c>
      <c r="AG52" s="35">
        <f>IF(AQ52="2",BI52,0)</f>
        <v>0</v>
      </c>
      <c r="AH52" s="35">
        <f>IF(AQ52="0",BJ52,0)</f>
        <v>0</v>
      </c>
      <c r="AI52" s="77" t="s">
        <v>59</v>
      </c>
      <c r="AJ52" s="64">
        <f>IF(AN52=0,L52,0)</f>
        <v>0</v>
      </c>
      <c r="AK52" s="64">
        <f>IF(AN52=15,L52,0)</f>
        <v>0</v>
      </c>
      <c r="AL52" s="64">
        <f>IF(AN52=21,L52,0)</f>
        <v>2588.96</v>
      </c>
      <c r="AN52" s="35">
        <v>21</v>
      </c>
      <c r="AO52" s="35">
        <f>I52*0</f>
        <v>0</v>
      </c>
      <c r="AP52" s="35">
        <f>I52*(1-0)</f>
        <v>44</v>
      </c>
      <c r="AQ52" s="78" t="s">
        <v>235</v>
      </c>
      <c r="AV52" s="35">
        <f>AW52+AX52</f>
        <v>2588.96</v>
      </c>
      <c r="AW52" s="35">
        <f>H52*AO52</f>
        <v>0</v>
      </c>
      <c r="AX52" s="35">
        <f>H52*AP52</f>
        <v>2588.96</v>
      </c>
      <c r="AY52" s="80" t="s">
        <v>1674</v>
      </c>
      <c r="AZ52" s="80" t="s">
        <v>1724</v>
      </c>
      <c r="BA52" s="77" t="s">
        <v>1772</v>
      </c>
      <c r="BC52" s="35">
        <f>AW52+AX52</f>
        <v>2588.96</v>
      </c>
      <c r="BD52" s="35">
        <f>I52/(100-BE52)*100</f>
        <v>44</v>
      </c>
      <c r="BE52" s="35">
        <v>0</v>
      </c>
      <c r="BF52" s="35">
        <f>52</f>
        <v>52</v>
      </c>
      <c r="BH52" s="64">
        <f>H52*AO52</f>
        <v>0</v>
      </c>
      <c r="BI52" s="64">
        <f>H52*AP52</f>
        <v>2588.96</v>
      </c>
      <c r="BJ52" s="64">
        <f>H52*I52</f>
        <v>2588.96</v>
      </c>
      <c r="BK52" s="64" t="s">
        <v>1790</v>
      </c>
      <c r="BL52" s="35">
        <v>764</v>
      </c>
    </row>
    <row r="53" spans="1:64">
      <c r="A53" s="47" t="s">
        <v>244</v>
      </c>
      <c r="B53" s="55" t="s">
        <v>59</v>
      </c>
      <c r="C53" s="55" t="s">
        <v>753</v>
      </c>
      <c r="D53" s="165" t="s">
        <v>1152</v>
      </c>
      <c r="E53" s="166"/>
      <c r="F53" s="166"/>
      <c r="G53" s="55" t="s">
        <v>1633</v>
      </c>
      <c r="H53" s="64">
        <v>132.19999999999999</v>
      </c>
      <c r="I53" s="64">
        <v>38</v>
      </c>
      <c r="J53" s="64">
        <f>H53*AO53</f>
        <v>0</v>
      </c>
      <c r="K53" s="64">
        <f>H53*AP53</f>
        <v>5023.5999999999995</v>
      </c>
      <c r="L53" s="64">
        <f>H53*I53</f>
        <v>5023.5999999999995</v>
      </c>
      <c r="M53" s="73" t="s">
        <v>1657</v>
      </c>
      <c r="N53" s="19"/>
      <c r="Z53" s="35">
        <f>IF(AQ53="5",BJ53,0)</f>
        <v>0</v>
      </c>
      <c r="AB53" s="35">
        <f>IF(AQ53="1",BH53,0)</f>
        <v>0</v>
      </c>
      <c r="AC53" s="35">
        <f>IF(AQ53="1",BI53,0)</f>
        <v>0</v>
      </c>
      <c r="AD53" s="35">
        <f>IF(AQ53="7",BH53,0)</f>
        <v>0</v>
      </c>
      <c r="AE53" s="35">
        <f>IF(AQ53="7",BI53,0)</f>
        <v>5023.5999999999995</v>
      </c>
      <c r="AF53" s="35">
        <f>IF(AQ53="2",BH53,0)</f>
        <v>0</v>
      </c>
      <c r="AG53" s="35">
        <f>IF(AQ53="2",BI53,0)</f>
        <v>0</v>
      </c>
      <c r="AH53" s="35">
        <f>IF(AQ53="0",BJ53,0)</f>
        <v>0</v>
      </c>
      <c r="AI53" s="77" t="s">
        <v>59</v>
      </c>
      <c r="AJ53" s="64">
        <f>IF(AN53=0,L53,0)</f>
        <v>0</v>
      </c>
      <c r="AK53" s="64">
        <f>IF(AN53=15,L53,0)</f>
        <v>0</v>
      </c>
      <c r="AL53" s="64">
        <f>IF(AN53=21,L53,0)</f>
        <v>5023.5999999999995</v>
      </c>
      <c r="AN53" s="35">
        <v>21</v>
      </c>
      <c r="AO53" s="35">
        <f>I53*0</f>
        <v>0</v>
      </c>
      <c r="AP53" s="35">
        <f>I53*(1-0)</f>
        <v>38</v>
      </c>
      <c r="AQ53" s="78" t="s">
        <v>235</v>
      </c>
      <c r="AV53" s="35">
        <f>AW53+AX53</f>
        <v>5023.5999999999995</v>
      </c>
      <c r="AW53" s="35">
        <f>H53*AO53</f>
        <v>0</v>
      </c>
      <c r="AX53" s="35">
        <f>H53*AP53</f>
        <v>5023.5999999999995</v>
      </c>
      <c r="AY53" s="80" t="s">
        <v>1674</v>
      </c>
      <c r="AZ53" s="80" t="s">
        <v>1724</v>
      </c>
      <c r="BA53" s="77" t="s">
        <v>1772</v>
      </c>
      <c r="BC53" s="35">
        <f>AW53+AX53</f>
        <v>5023.5999999999995</v>
      </c>
      <c r="BD53" s="35">
        <f>I53/(100-BE53)*100</f>
        <v>38</v>
      </c>
      <c r="BE53" s="35">
        <v>0</v>
      </c>
      <c r="BF53" s="35">
        <f>53</f>
        <v>53</v>
      </c>
      <c r="BH53" s="64">
        <f>H53*AO53</f>
        <v>0</v>
      </c>
      <c r="BI53" s="64">
        <f>H53*AP53</f>
        <v>5023.5999999999995</v>
      </c>
      <c r="BJ53" s="64">
        <f>H53*I53</f>
        <v>5023.5999999999995</v>
      </c>
      <c r="BK53" s="64" t="s">
        <v>1790</v>
      </c>
      <c r="BL53" s="35">
        <v>764</v>
      </c>
    </row>
    <row r="54" spans="1:64">
      <c r="A54" s="47" t="s">
        <v>245</v>
      </c>
      <c r="B54" s="55" t="s">
        <v>59</v>
      </c>
      <c r="C54" s="55" t="s">
        <v>754</v>
      </c>
      <c r="D54" s="165" t="s">
        <v>1153</v>
      </c>
      <c r="E54" s="166"/>
      <c r="F54" s="166"/>
      <c r="G54" s="55" t="s">
        <v>1633</v>
      </c>
      <c r="H54" s="64">
        <v>3.5</v>
      </c>
      <c r="I54" s="64">
        <v>531</v>
      </c>
      <c r="J54" s="64">
        <f>H54*AO54</f>
        <v>0</v>
      </c>
      <c r="K54" s="64">
        <f>H54*AP54</f>
        <v>1858.5</v>
      </c>
      <c r="L54" s="64">
        <f>H54*I54</f>
        <v>1858.5</v>
      </c>
      <c r="M54" s="73" t="s">
        <v>1657</v>
      </c>
      <c r="N54" s="19"/>
      <c r="Z54" s="35">
        <f>IF(AQ54="5",BJ54,0)</f>
        <v>0</v>
      </c>
      <c r="AB54" s="35">
        <f>IF(AQ54="1",BH54,0)</f>
        <v>0</v>
      </c>
      <c r="AC54" s="35">
        <f>IF(AQ54="1",BI54,0)</f>
        <v>0</v>
      </c>
      <c r="AD54" s="35">
        <f>IF(AQ54="7",BH54,0)</f>
        <v>0</v>
      </c>
      <c r="AE54" s="35">
        <f>IF(AQ54="7",BI54,0)</f>
        <v>1858.5</v>
      </c>
      <c r="AF54" s="35">
        <f>IF(AQ54="2",BH54,0)</f>
        <v>0</v>
      </c>
      <c r="AG54" s="35">
        <f>IF(AQ54="2",BI54,0)</f>
        <v>0</v>
      </c>
      <c r="AH54" s="35">
        <f>IF(AQ54="0",BJ54,0)</f>
        <v>0</v>
      </c>
      <c r="AI54" s="77" t="s">
        <v>59</v>
      </c>
      <c r="AJ54" s="64">
        <f>IF(AN54=0,L54,0)</f>
        <v>0</v>
      </c>
      <c r="AK54" s="64">
        <f>IF(AN54=15,L54,0)</f>
        <v>0</v>
      </c>
      <c r="AL54" s="64">
        <f>IF(AN54=21,L54,0)</f>
        <v>1858.5</v>
      </c>
      <c r="AN54" s="35">
        <v>21</v>
      </c>
      <c r="AO54" s="35">
        <f>I54*0</f>
        <v>0</v>
      </c>
      <c r="AP54" s="35">
        <f>I54*(1-0)</f>
        <v>531</v>
      </c>
      <c r="AQ54" s="78" t="s">
        <v>235</v>
      </c>
      <c r="AV54" s="35">
        <f>AW54+AX54</f>
        <v>1858.5</v>
      </c>
      <c r="AW54" s="35">
        <f>H54*AO54</f>
        <v>0</v>
      </c>
      <c r="AX54" s="35">
        <f>H54*AP54</f>
        <v>1858.5</v>
      </c>
      <c r="AY54" s="80" t="s">
        <v>1674</v>
      </c>
      <c r="AZ54" s="80" t="s">
        <v>1724</v>
      </c>
      <c r="BA54" s="77" t="s">
        <v>1772</v>
      </c>
      <c r="BC54" s="35">
        <f>AW54+AX54</f>
        <v>1858.5</v>
      </c>
      <c r="BD54" s="35">
        <f>I54/(100-BE54)*100</f>
        <v>531</v>
      </c>
      <c r="BE54" s="35">
        <v>0</v>
      </c>
      <c r="BF54" s="35">
        <f>54</f>
        <v>54</v>
      </c>
      <c r="BH54" s="64">
        <f>H54*AO54</f>
        <v>0</v>
      </c>
      <c r="BI54" s="64">
        <f>H54*AP54</f>
        <v>1858.5</v>
      </c>
      <c r="BJ54" s="64">
        <f>H54*I54</f>
        <v>1858.5</v>
      </c>
      <c r="BK54" s="64" t="s">
        <v>1790</v>
      </c>
      <c r="BL54" s="35">
        <v>764</v>
      </c>
    </row>
    <row r="55" spans="1:64">
      <c r="A55" s="19"/>
      <c r="C55" s="59" t="s">
        <v>730</v>
      </c>
      <c r="D55" s="167" t="s">
        <v>1154</v>
      </c>
      <c r="E55" s="168"/>
      <c r="F55" s="168"/>
      <c r="G55" s="168"/>
      <c r="H55" s="168"/>
      <c r="I55" s="168"/>
      <c r="J55" s="168"/>
      <c r="K55" s="168"/>
      <c r="L55" s="168"/>
      <c r="M55" s="169"/>
      <c r="N55" s="19"/>
    </row>
    <row r="56" spans="1:64">
      <c r="A56" s="47" t="s">
        <v>165</v>
      </c>
      <c r="B56" s="55" t="s">
        <v>59</v>
      </c>
      <c r="C56" s="55" t="s">
        <v>755</v>
      </c>
      <c r="D56" s="165" t="s">
        <v>1155</v>
      </c>
      <c r="E56" s="166"/>
      <c r="F56" s="166"/>
      <c r="G56" s="55" t="s">
        <v>1633</v>
      </c>
      <c r="H56" s="64">
        <v>35.450000000000003</v>
      </c>
      <c r="I56" s="64">
        <v>595</v>
      </c>
      <c r="J56" s="64">
        <f>H56*AO56</f>
        <v>0</v>
      </c>
      <c r="K56" s="64">
        <f>H56*AP56</f>
        <v>21092.75</v>
      </c>
      <c r="L56" s="64">
        <f>H56*I56</f>
        <v>21092.75</v>
      </c>
      <c r="M56" s="73" t="s">
        <v>1657</v>
      </c>
      <c r="N56" s="19"/>
      <c r="Z56" s="35">
        <f>IF(AQ56="5",BJ56,0)</f>
        <v>0</v>
      </c>
      <c r="AB56" s="35">
        <f>IF(AQ56="1",BH56,0)</f>
        <v>0</v>
      </c>
      <c r="AC56" s="35">
        <f>IF(AQ56="1",BI56,0)</f>
        <v>0</v>
      </c>
      <c r="AD56" s="35">
        <f>IF(AQ56="7",BH56,0)</f>
        <v>0</v>
      </c>
      <c r="AE56" s="35">
        <f>IF(AQ56="7",BI56,0)</f>
        <v>21092.75</v>
      </c>
      <c r="AF56" s="35">
        <f>IF(AQ56="2",BH56,0)</f>
        <v>0</v>
      </c>
      <c r="AG56" s="35">
        <f>IF(AQ56="2",BI56,0)</f>
        <v>0</v>
      </c>
      <c r="AH56" s="35">
        <f>IF(AQ56="0",BJ56,0)</f>
        <v>0</v>
      </c>
      <c r="AI56" s="77" t="s">
        <v>59</v>
      </c>
      <c r="AJ56" s="64">
        <f>IF(AN56=0,L56,0)</f>
        <v>0</v>
      </c>
      <c r="AK56" s="64">
        <f>IF(AN56=15,L56,0)</f>
        <v>0</v>
      </c>
      <c r="AL56" s="64">
        <f>IF(AN56=21,L56,0)</f>
        <v>21092.75</v>
      </c>
      <c r="AN56" s="35">
        <v>21</v>
      </c>
      <c r="AO56" s="35">
        <f>I56*0</f>
        <v>0</v>
      </c>
      <c r="AP56" s="35">
        <f>I56*(1-0)</f>
        <v>595</v>
      </c>
      <c r="AQ56" s="78" t="s">
        <v>235</v>
      </c>
      <c r="AV56" s="35">
        <f>AW56+AX56</f>
        <v>21092.75</v>
      </c>
      <c r="AW56" s="35">
        <f>H56*AO56</f>
        <v>0</v>
      </c>
      <c r="AX56" s="35">
        <f>H56*AP56</f>
        <v>21092.75</v>
      </c>
      <c r="AY56" s="80" t="s">
        <v>1674</v>
      </c>
      <c r="AZ56" s="80" t="s">
        <v>1724</v>
      </c>
      <c r="BA56" s="77" t="s">
        <v>1772</v>
      </c>
      <c r="BC56" s="35">
        <f>AW56+AX56</f>
        <v>21092.75</v>
      </c>
      <c r="BD56" s="35">
        <f>I56/(100-BE56)*100</f>
        <v>595</v>
      </c>
      <c r="BE56" s="35">
        <v>0</v>
      </c>
      <c r="BF56" s="35">
        <f>56</f>
        <v>56</v>
      </c>
      <c r="BH56" s="64">
        <f>H56*AO56</f>
        <v>0</v>
      </c>
      <c r="BI56" s="64">
        <f>H56*AP56</f>
        <v>21092.75</v>
      </c>
      <c r="BJ56" s="64">
        <f>H56*I56</f>
        <v>21092.75</v>
      </c>
      <c r="BK56" s="64" t="s">
        <v>1790</v>
      </c>
      <c r="BL56" s="35">
        <v>764</v>
      </c>
    </row>
    <row r="57" spans="1:64">
      <c r="A57" s="19"/>
      <c r="C57" s="59" t="s">
        <v>730</v>
      </c>
      <c r="D57" s="167" t="s">
        <v>1154</v>
      </c>
      <c r="E57" s="168"/>
      <c r="F57" s="168"/>
      <c r="G57" s="168"/>
      <c r="H57" s="168"/>
      <c r="I57" s="168"/>
      <c r="J57" s="168"/>
      <c r="K57" s="168"/>
      <c r="L57" s="168"/>
      <c r="M57" s="169"/>
      <c r="N57" s="19"/>
    </row>
    <row r="58" spans="1:64">
      <c r="A58" s="47" t="s">
        <v>246</v>
      </c>
      <c r="B58" s="55" t="s">
        <v>59</v>
      </c>
      <c r="C58" s="55" t="s">
        <v>756</v>
      </c>
      <c r="D58" s="165" t="s">
        <v>1156</v>
      </c>
      <c r="E58" s="166"/>
      <c r="F58" s="166"/>
      <c r="G58" s="55" t="s">
        <v>1633</v>
      </c>
      <c r="H58" s="64">
        <v>99.05</v>
      </c>
      <c r="I58" s="64">
        <v>662</v>
      </c>
      <c r="J58" s="64">
        <f>H58*AO58</f>
        <v>0</v>
      </c>
      <c r="K58" s="64">
        <f>H58*AP58</f>
        <v>65571.099999999991</v>
      </c>
      <c r="L58" s="64">
        <f>H58*I58</f>
        <v>65571.099999999991</v>
      </c>
      <c r="M58" s="73" t="s">
        <v>1657</v>
      </c>
      <c r="N58" s="19"/>
      <c r="Z58" s="35">
        <f>IF(AQ58="5",BJ58,0)</f>
        <v>0</v>
      </c>
      <c r="AB58" s="35">
        <f>IF(AQ58="1",BH58,0)</f>
        <v>0</v>
      </c>
      <c r="AC58" s="35">
        <f>IF(AQ58="1",BI58,0)</f>
        <v>0</v>
      </c>
      <c r="AD58" s="35">
        <f>IF(AQ58="7",BH58,0)</f>
        <v>0</v>
      </c>
      <c r="AE58" s="35">
        <f>IF(AQ58="7",BI58,0)</f>
        <v>65571.099999999991</v>
      </c>
      <c r="AF58" s="35">
        <f>IF(AQ58="2",BH58,0)</f>
        <v>0</v>
      </c>
      <c r="AG58" s="35">
        <f>IF(AQ58="2",BI58,0)</f>
        <v>0</v>
      </c>
      <c r="AH58" s="35">
        <f>IF(AQ58="0",BJ58,0)</f>
        <v>0</v>
      </c>
      <c r="AI58" s="77" t="s">
        <v>59</v>
      </c>
      <c r="AJ58" s="64">
        <f>IF(AN58=0,L58,0)</f>
        <v>0</v>
      </c>
      <c r="AK58" s="64">
        <f>IF(AN58=15,L58,0)</f>
        <v>0</v>
      </c>
      <c r="AL58" s="64">
        <f>IF(AN58=21,L58,0)</f>
        <v>65571.099999999991</v>
      </c>
      <c r="AN58" s="35">
        <v>21</v>
      </c>
      <c r="AO58" s="35">
        <f>I58*0</f>
        <v>0</v>
      </c>
      <c r="AP58" s="35">
        <f>I58*(1-0)</f>
        <v>662</v>
      </c>
      <c r="AQ58" s="78" t="s">
        <v>235</v>
      </c>
      <c r="AV58" s="35">
        <f>AW58+AX58</f>
        <v>65571.099999999991</v>
      </c>
      <c r="AW58" s="35">
        <f>H58*AO58</f>
        <v>0</v>
      </c>
      <c r="AX58" s="35">
        <f>H58*AP58</f>
        <v>65571.099999999991</v>
      </c>
      <c r="AY58" s="80" t="s">
        <v>1674</v>
      </c>
      <c r="AZ58" s="80" t="s">
        <v>1724</v>
      </c>
      <c r="BA58" s="77" t="s">
        <v>1772</v>
      </c>
      <c r="BC58" s="35">
        <f>AW58+AX58</f>
        <v>65571.099999999991</v>
      </c>
      <c r="BD58" s="35">
        <f>I58/(100-BE58)*100</f>
        <v>662</v>
      </c>
      <c r="BE58" s="35">
        <v>0</v>
      </c>
      <c r="BF58" s="35">
        <f>58</f>
        <v>58</v>
      </c>
      <c r="BH58" s="64">
        <f>H58*AO58</f>
        <v>0</v>
      </c>
      <c r="BI58" s="64">
        <f>H58*AP58</f>
        <v>65571.099999999991</v>
      </c>
      <c r="BJ58" s="64">
        <f>H58*I58</f>
        <v>65571.099999999991</v>
      </c>
      <c r="BK58" s="64" t="s">
        <v>1790</v>
      </c>
      <c r="BL58" s="35">
        <v>764</v>
      </c>
    </row>
    <row r="59" spans="1:64">
      <c r="A59" s="19"/>
      <c r="C59" s="59" t="s">
        <v>730</v>
      </c>
      <c r="D59" s="167" t="s">
        <v>1154</v>
      </c>
      <c r="E59" s="168"/>
      <c r="F59" s="168"/>
      <c r="G59" s="168"/>
      <c r="H59" s="168"/>
      <c r="I59" s="168"/>
      <c r="J59" s="168"/>
      <c r="K59" s="168"/>
      <c r="L59" s="168"/>
      <c r="M59" s="169"/>
      <c r="N59" s="19"/>
    </row>
    <row r="60" spans="1:64">
      <c r="A60" s="47" t="s">
        <v>247</v>
      </c>
      <c r="B60" s="55" t="s">
        <v>59</v>
      </c>
      <c r="C60" s="55" t="s">
        <v>757</v>
      </c>
      <c r="D60" s="165" t="s">
        <v>1157</v>
      </c>
      <c r="E60" s="166"/>
      <c r="F60" s="166"/>
      <c r="G60" s="55" t="s">
        <v>1634</v>
      </c>
      <c r="H60" s="64">
        <v>1.13141</v>
      </c>
      <c r="I60" s="64">
        <v>1397</v>
      </c>
      <c r="J60" s="64">
        <f>H60*AO60</f>
        <v>0</v>
      </c>
      <c r="K60" s="64">
        <f>H60*AP60</f>
        <v>1580.5797700000001</v>
      </c>
      <c r="L60" s="64">
        <f>H60*I60</f>
        <v>1580.5797700000001</v>
      </c>
      <c r="M60" s="73" t="s">
        <v>1657</v>
      </c>
      <c r="N60" s="19"/>
      <c r="Z60" s="35">
        <f>IF(AQ60="5",BJ60,0)</f>
        <v>1580.5797700000001</v>
      </c>
      <c r="AB60" s="35">
        <f>IF(AQ60="1",BH60,0)</f>
        <v>0</v>
      </c>
      <c r="AC60" s="35">
        <f>IF(AQ60="1",BI60,0)</f>
        <v>0</v>
      </c>
      <c r="AD60" s="35">
        <f>IF(AQ60="7",BH60,0)</f>
        <v>0</v>
      </c>
      <c r="AE60" s="35">
        <f>IF(AQ60="7",BI60,0)</f>
        <v>0</v>
      </c>
      <c r="AF60" s="35">
        <f>IF(AQ60="2",BH60,0)</f>
        <v>0</v>
      </c>
      <c r="AG60" s="35">
        <f>IF(AQ60="2",BI60,0)</f>
        <v>0</v>
      </c>
      <c r="AH60" s="35">
        <f>IF(AQ60="0",BJ60,0)</f>
        <v>0</v>
      </c>
      <c r="AI60" s="77" t="s">
        <v>59</v>
      </c>
      <c r="AJ60" s="64">
        <f>IF(AN60=0,L60,0)</f>
        <v>0</v>
      </c>
      <c r="AK60" s="64">
        <f>IF(AN60=15,L60,0)</f>
        <v>0</v>
      </c>
      <c r="AL60" s="64">
        <f>IF(AN60=21,L60,0)</f>
        <v>1580.5797700000001</v>
      </c>
      <c r="AN60" s="35">
        <v>21</v>
      </c>
      <c r="AO60" s="35">
        <f>I60*0</f>
        <v>0</v>
      </c>
      <c r="AP60" s="35">
        <f>I60*(1-0)</f>
        <v>1397</v>
      </c>
      <c r="AQ60" s="78" t="s">
        <v>112</v>
      </c>
      <c r="AV60" s="35">
        <f>AW60+AX60</f>
        <v>1580.5797700000001</v>
      </c>
      <c r="AW60" s="35">
        <f>H60*AO60</f>
        <v>0</v>
      </c>
      <c r="AX60" s="35">
        <f>H60*AP60</f>
        <v>1580.5797700000001</v>
      </c>
      <c r="AY60" s="80" t="s">
        <v>1674</v>
      </c>
      <c r="AZ60" s="80" t="s">
        <v>1724</v>
      </c>
      <c r="BA60" s="77" t="s">
        <v>1772</v>
      </c>
      <c r="BC60" s="35">
        <f>AW60+AX60</f>
        <v>1580.5797700000001</v>
      </c>
      <c r="BD60" s="35">
        <f>I60/(100-BE60)*100</f>
        <v>1397</v>
      </c>
      <c r="BE60" s="35">
        <v>0</v>
      </c>
      <c r="BF60" s="35">
        <f>60</f>
        <v>60</v>
      </c>
      <c r="BH60" s="64">
        <f>H60*AO60</f>
        <v>0</v>
      </c>
      <c r="BI60" s="64">
        <f>H60*AP60</f>
        <v>1580.5797700000001</v>
      </c>
      <c r="BJ60" s="64">
        <f>H60*I60</f>
        <v>1580.5797700000001</v>
      </c>
      <c r="BK60" s="64" t="s">
        <v>1790</v>
      </c>
      <c r="BL60" s="35">
        <v>764</v>
      </c>
    </row>
    <row r="61" spans="1:64">
      <c r="A61" s="46"/>
      <c r="B61" s="54" t="s">
        <v>59</v>
      </c>
      <c r="C61" s="54" t="s">
        <v>136</v>
      </c>
      <c r="D61" s="163" t="s">
        <v>187</v>
      </c>
      <c r="E61" s="164"/>
      <c r="F61" s="164"/>
      <c r="G61" s="61" t="s">
        <v>57</v>
      </c>
      <c r="H61" s="61" t="s">
        <v>57</v>
      </c>
      <c r="I61" s="61" t="s">
        <v>57</v>
      </c>
      <c r="J61" s="83">
        <f>SUM(J62:J78)</f>
        <v>25548</v>
      </c>
      <c r="K61" s="83">
        <f>SUM(K62:K78)</f>
        <v>22304.428019999999</v>
      </c>
      <c r="L61" s="83">
        <f>SUM(L62:L78)</f>
        <v>47852.428019999992</v>
      </c>
      <c r="M61" s="72"/>
      <c r="N61" s="19"/>
      <c r="AI61" s="77" t="s">
        <v>59</v>
      </c>
      <c r="AS61" s="83">
        <f>SUM(AJ62:AJ78)</f>
        <v>0</v>
      </c>
      <c r="AT61" s="83">
        <f>SUM(AK62:AK78)</f>
        <v>0</v>
      </c>
      <c r="AU61" s="83">
        <f>SUM(AL62:AL78)</f>
        <v>47852.428019999992</v>
      </c>
    </row>
    <row r="62" spans="1:64">
      <c r="A62" s="47" t="s">
        <v>248</v>
      </c>
      <c r="B62" s="55" t="s">
        <v>59</v>
      </c>
      <c r="C62" s="55" t="s">
        <v>758</v>
      </c>
      <c r="D62" s="165" t="s">
        <v>1158</v>
      </c>
      <c r="E62" s="166"/>
      <c r="F62" s="166"/>
      <c r="G62" s="55" t="s">
        <v>1633</v>
      </c>
      <c r="H62" s="64">
        <v>9.4</v>
      </c>
      <c r="I62" s="64">
        <v>58</v>
      </c>
      <c r="J62" s="64">
        <f t="shared" ref="J62:J78" si="22">H62*AO62</f>
        <v>0</v>
      </c>
      <c r="K62" s="64">
        <f t="shared" ref="K62:K78" si="23">H62*AP62</f>
        <v>545.20000000000005</v>
      </c>
      <c r="L62" s="64">
        <f t="shared" ref="L62:L78" si="24">H62*I62</f>
        <v>545.20000000000005</v>
      </c>
      <c r="M62" s="73" t="s">
        <v>1659</v>
      </c>
      <c r="N62" s="19"/>
      <c r="Z62" s="35">
        <f t="shared" ref="Z62:Z78" si="25">IF(AQ62="5",BJ62,0)</f>
        <v>0</v>
      </c>
      <c r="AB62" s="35">
        <f t="shared" ref="AB62:AB78" si="26">IF(AQ62="1",BH62,0)</f>
        <v>0</v>
      </c>
      <c r="AC62" s="35">
        <f t="shared" ref="AC62:AC78" si="27">IF(AQ62="1",BI62,0)</f>
        <v>0</v>
      </c>
      <c r="AD62" s="35">
        <f t="shared" ref="AD62:AD78" si="28">IF(AQ62="7",BH62,0)</f>
        <v>0</v>
      </c>
      <c r="AE62" s="35">
        <f t="shared" ref="AE62:AE78" si="29">IF(AQ62="7",BI62,0)</f>
        <v>545.20000000000005</v>
      </c>
      <c r="AF62" s="35">
        <f t="shared" ref="AF62:AF78" si="30">IF(AQ62="2",BH62,0)</f>
        <v>0</v>
      </c>
      <c r="AG62" s="35">
        <f t="shared" ref="AG62:AG78" si="31">IF(AQ62="2",BI62,0)</f>
        <v>0</v>
      </c>
      <c r="AH62" s="35">
        <f t="shared" ref="AH62:AH78" si="32">IF(AQ62="0",BJ62,0)</f>
        <v>0</v>
      </c>
      <c r="AI62" s="77" t="s">
        <v>59</v>
      </c>
      <c r="AJ62" s="64">
        <f t="shared" ref="AJ62:AJ78" si="33">IF(AN62=0,L62,0)</f>
        <v>0</v>
      </c>
      <c r="AK62" s="64">
        <f t="shared" ref="AK62:AK78" si="34">IF(AN62=15,L62,0)</f>
        <v>0</v>
      </c>
      <c r="AL62" s="64">
        <f t="shared" ref="AL62:AL78" si="35">IF(AN62=21,L62,0)</f>
        <v>545.20000000000005</v>
      </c>
      <c r="AN62" s="35">
        <v>21</v>
      </c>
      <c r="AO62" s="35">
        <f>I62*0</f>
        <v>0</v>
      </c>
      <c r="AP62" s="35">
        <f>I62*(1-0)</f>
        <v>58</v>
      </c>
      <c r="AQ62" s="78" t="s">
        <v>235</v>
      </c>
      <c r="AV62" s="35">
        <f t="shared" ref="AV62:AV78" si="36">AW62+AX62</f>
        <v>545.20000000000005</v>
      </c>
      <c r="AW62" s="35">
        <f t="shared" ref="AW62:AW78" si="37">H62*AO62</f>
        <v>0</v>
      </c>
      <c r="AX62" s="35">
        <f t="shared" ref="AX62:AX78" si="38">H62*AP62</f>
        <v>545.20000000000005</v>
      </c>
      <c r="AY62" s="80" t="s">
        <v>1675</v>
      </c>
      <c r="AZ62" s="80" t="s">
        <v>1724</v>
      </c>
      <c r="BA62" s="77" t="s">
        <v>1772</v>
      </c>
      <c r="BC62" s="35">
        <f t="shared" ref="BC62:BC78" si="39">AW62+AX62</f>
        <v>545.20000000000005</v>
      </c>
      <c r="BD62" s="35">
        <f t="shared" ref="BD62:BD78" si="40">I62/(100-BE62)*100</f>
        <v>57.999999999999993</v>
      </c>
      <c r="BE62" s="35">
        <v>0</v>
      </c>
      <c r="BF62" s="35">
        <f>62</f>
        <v>62</v>
      </c>
      <c r="BH62" s="64">
        <f t="shared" ref="BH62:BH78" si="41">H62*AO62</f>
        <v>0</v>
      </c>
      <c r="BI62" s="64">
        <f t="shared" ref="BI62:BI78" si="42">H62*AP62</f>
        <v>545.20000000000005</v>
      </c>
      <c r="BJ62" s="64">
        <f t="shared" ref="BJ62:BJ78" si="43">H62*I62</f>
        <v>545.20000000000005</v>
      </c>
      <c r="BK62" s="64" t="s">
        <v>1790</v>
      </c>
      <c r="BL62" s="35">
        <v>767</v>
      </c>
    </row>
    <row r="63" spans="1:64">
      <c r="A63" s="48" t="s">
        <v>131</v>
      </c>
      <c r="B63" s="56" t="s">
        <v>59</v>
      </c>
      <c r="C63" s="56" t="s">
        <v>759</v>
      </c>
      <c r="D63" s="170" t="s">
        <v>1159</v>
      </c>
      <c r="E63" s="171"/>
      <c r="F63" s="171"/>
      <c r="G63" s="56" t="s">
        <v>1635</v>
      </c>
      <c r="H63" s="65">
        <v>10</v>
      </c>
      <c r="I63" s="65">
        <v>1080</v>
      </c>
      <c r="J63" s="65">
        <f t="shared" si="22"/>
        <v>10800</v>
      </c>
      <c r="K63" s="65">
        <f t="shared" si="23"/>
        <v>0</v>
      </c>
      <c r="L63" s="65">
        <f t="shared" si="24"/>
        <v>10800</v>
      </c>
      <c r="M63" s="74" t="s">
        <v>1658</v>
      </c>
      <c r="N63" s="19"/>
      <c r="Z63" s="35">
        <f t="shared" si="25"/>
        <v>0</v>
      </c>
      <c r="AB63" s="35">
        <f t="shared" si="26"/>
        <v>0</v>
      </c>
      <c r="AC63" s="35">
        <f t="shared" si="27"/>
        <v>0</v>
      </c>
      <c r="AD63" s="35">
        <f t="shared" si="28"/>
        <v>10800</v>
      </c>
      <c r="AE63" s="35">
        <f t="shared" si="29"/>
        <v>0</v>
      </c>
      <c r="AF63" s="35">
        <f t="shared" si="30"/>
        <v>0</v>
      </c>
      <c r="AG63" s="35">
        <f t="shared" si="31"/>
        <v>0</v>
      </c>
      <c r="AH63" s="35">
        <f t="shared" si="32"/>
        <v>0</v>
      </c>
      <c r="AI63" s="77" t="s">
        <v>59</v>
      </c>
      <c r="AJ63" s="65">
        <f t="shared" si="33"/>
        <v>0</v>
      </c>
      <c r="AK63" s="65">
        <f t="shared" si="34"/>
        <v>0</v>
      </c>
      <c r="AL63" s="65">
        <f t="shared" si="35"/>
        <v>10800</v>
      </c>
      <c r="AN63" s="35">
        <v>21</v>
      </c>
      <c r="AO63" s="35">
        <f>I63*1</f>
        <v>1080</v>
      </c>
      <c r="AP63" s="35">
        <f>I63*(1-1)</f>
        <v>0</v>
      </c>
      <c r="AQ63" s="79" t="s">
        <v>235</v>
      </c>
      <c r="AV63" s="35">
        <f t="shared" si="36"/>
        <v>10800</v>
      </c>
      <c r="AW63" s="35">
        <f t="shared" si="37"/>
        <v>10800</v>
      </c>
      <c r="AX63" s="35">
        <f t="shared" si="38"/>
        <v>0</v>
      </c>
      <c r="AY63" s="80" t="s">
        <v>1675</v>
      </c>
      <c r="AZ63" s="80" t="s">
        <v>1724</v>
      </c>
      <c r="BA63" s="77" t="s">
        <v>1772</v>
      </c>
      <c r="BC63" s="35">
        <f t="shared" si="39"/>
        <v>10800</v>
      </c>
      <c r="BD63" s="35">
        <f t="shared" si="40"/>
        <v>1080</v>
      </c>
      <c r="BE63" s="35">
        <v>0</v>
      </c>
      <c r="BF63" s="35">
        <f>63</f>
        <v>63</v>
      </c>
      <c r="BH63" s="65">
        <f t="shared" si="41"/>
        <v>10800</v>
      </c>
      <c r="BI63" s="65">
        <f t="shared" si="42"/>
        <v>0</v>
      </c>
      <c r="BJ63" s="65">
        <f t="shared" si="43"/>
        <v>10800</v>
      </c>
      <c r="BK63" s="65" t="s">
        <v>1642</v>
      </c>
      <c r="BL63" s="35">
        <v>767</v>
      </c>
    </row>
    <row r="64" spans="1:64">
      <c r="A64" s="48" t="s">
        <v>249</v>
      </c>
      <c r="B64" s="56" t="s">
        <v>59</v>
      </c>
      <c r="C64" s="56" t="s">
        <v>760</v>
      </c>
      <c r="D64" s="170" t="s">
        <v>1160</v>
      </c>
      <c r="E64" s="171"/>
      <c r="F64" s="171"/>
      <c r="G64" s="56" t="s">
        <v>1635</v>
      </c>
      <c r="H64" s="65">
        <v>1</v>
      </c>
      <c r="I64" s="65">
        <v>2448</v>
      </c>
      <c r="J64" s="65">
        <f t="shared" si="22"/>
        <v>2448</v>
      </c>
      <c r="K64" s="65">
        <f t="shared" si="23"/>
        <v>0</v>
      </c>
      <c r="L64" s="65">
        <f t="shared" si="24"/>
        <v>2448</v>
      </c>
      <c r="M64" s="74" t="s">
        <v>1658</v>
      </c>
      <c r="N64" s="19"/>
      <c r="Z64" s="35">
        <f t="shared" si="25"/>
        <v>0</v>
      </c>
      <c r="AB64" s="35">
        <f t="shared" si="26"/>
        <v>0</v>
      </c>
      <c r="AC64" s="35">
        <f t="shared" si="27"/>
        <v>0</v>
      </c>
      <c r="AD64" s="35">
        <f t="shared" si="28"/>
        <v>2448</v>
      </c>
      <c r="AE64" s="35">
        <f t="shared" si="29"/>
        <v>0</v>
      </c>
      <c r="AF64" s="35">
        <f t="shared" si="30"/>
        <v>0</v>
      </c>
      <c r="AG64" s="35">
        <f t="shared" si="31"/>
        <v>0</v>
      </c>
      <c r="AH64" s="35">
        <f t="shared" si="32"/>
        <v>0</v>
      </c>
      <c r="AI64" s="77" t="s">
        <v>59</v>
      </c>
      <c r="AJ64" s="65">
        <f t="shared" si="33"/>
        <v>0</v>
      </c>
      <c r="AK64" s="65">
        <f t="shared" si="34"/>
        <v>0</v>
      </c>
      <c r="AL64" s="65">
        <f t="shared" si="35"/>
        <v>2448</v>
      </c>
      <c r="AN64" s="35">
        <v>21</v>
      </c>
      <c r="AO64" s="35">
        <f>I64*1</f>
        <v>2448</v>
      </c>
      <c r="AP64" s="35">
        <f>I64*(1-1)</f>
        <v>0</v>
      </c>
      <c r="AQ64" s="79" t="s">
        <v>235</v>
      </c>
      <c r="AV64" s="35">
        <f t="shared" si="36"/>
        <v>2448</v>
      </c>
      <c r="AW64" s="35">
        <f t="shared" si="37"/>
        <v>2448</v>
      </c>
      <c r="AX64" s="35">
        <f t="shared" si="38"/>
        <v>0</v>
      </c>
      <c r="AY64" s="80" t="s">
        <v>1675</v>
      </c>
      <c r="AZ64" s="80" t="s">
        <v>1724</v>
      </c>
      <c r="BA64" s="77" t="s">
        <v>1772</v>
      </c>
      <c r="BC64" s="35">
        <f t="shared" si="39"/>
        <v>2448</v>
      </c>
      <c r="BD64" s="35">
        <f t="shared" si="40"/>
        <v>2448</v>
      </c>
      <c r="BE64" s="35">
        <v>0</v>
      </c>
      <c r="BF64" s="35">
        <f>64</f>
        <v>64</v>
      </c>
      <c r="BH64" s="65">
        <f t="shared" si="41"/>
        <v>2448</v>
      </c>
      <c r="BI64" s="65">
        <f t="shared" si="42"/>
        <v>0</v>
      </c>
      <c r="BJ64" s="65">
        <f t="shared" si="43"/>
        <v>2448</v>
      </c>
      <c r="BK64" s="65" t="s">
        <v>1642</v>
      </c>
      <c r="BL64" s="35">
        <v>767</v>
      </c>
    </row>
    <row r="65" spans="1:64">
      <c r="A65" s="47" t="s">
        <v>250</v>
      </c>
      <c r="B65" s="55" t="s">
        <v>59</v>
      </c>
      <c r="C65" s="55" t="s">
        <v>761</v>
      </c>
      <c r="D65" s="165" t="s">
        <v>1161</v>
      </c>
      <c r="E65" s="166"/>
      <c r="F65" s="166"/>
      <c r="G65" s="55" t="s">
        <v>1633</v>
      </c>
      <c r="H65" s="64">
        <v>6.2</v>
      </c>
      <c r="I65" s="64">
        <v>38</v>
      </c>
      <c r="J65" s="64">
        <f t="shared" si="22"/>
        <v>0</v>
      </c>
      <c r="K65" s="64">
        <f t="shared" si="23"/>
        <v>235.6</v>
      </c>
      <c r="L65" s="64">
        <f t="shared" si="24"/>
        <v>235.6</v>
      </c>
      <c r="M65" s="73" t="s">
        <v>1659</v>
      </c>
      <c r="N65" s="19"/>
      <c r="Z65" s="35">
        <f t="shared" si="25"/>
        <v>0</v>
      </c>
      <c r="AB65" s="35">
        <f t="shared" si="26"/>
        <v>0</v>
      </c>
      <c r="AC65" s="35">
        <f t="shared" si="27"/>
        <v>0</v>
      </c>
      <c r="AD65" s="35">
        <f t="shared" si="28"/>
        <v>0</v>
      </c>
      <c r="AE65" s="35">
        <f t="shared" si="29"/>
        <v>235.6</v>
      </c>
      <c r="AF65" s="35">
        <f t="shared" si="30"/>
        <v>0</v>
      </c>
      <c r="AG65" s="35">
        <f t="shared" si="31"/>
        <v>0</v>
      </c>
      <c r="AH65" s="35">
        <f t="shared" si="32"/>
        <v>0</v>
      </c>
      <c r="AI65" s="77" t="s">
        <v>59</v>
      </c>
      <c r="AJ65" s="64">
        <f t="shared" si="33"/>
        <v>0</v>
      </c>
      <c r="AK65" s="64">
        <f t="shared" si="34"/>
        <v>0</v>
      </c>
      <c r="AL65" s="64">
        <f t="shared" si="35"/>
        <v>235.6</v>
      </c>
      <c r="AN65" s="35">
        <v>21</v>
      </c>
      <c r="AO65" s="35">
        <f>I65*0</f>
        <v>0</v>
      </c>
      <c r="AP65" s="35">
        <f>I65*(1-0)</f>
        <v>38</v>
      </c>
      <c r="AQ65" s="78" t="s">
        <v>235</v>
      </c>
      <c r="AV65" s="35">
        <f t="shared" si="36"/>
        <v>235.6</v>
      </c>
      <c r="AW65" s="35">
        <f t="shared" si="37"/>
        <v>0</v>
      </c>
      <c r="AX65" s="35">
        <f t="shared" si="38"/>
        <v>235.6</v>
      </c>
      <c r="AY65" s="80" t="s">
        <v>1675</v>
      </c>
      <c r="AZ65" s="80" t="s">
        <v>1724</v>
      </c>
      <c r="BA65" s="77" t="s">
        <v>1772</v>
      </c>
      <c r="BC65" s="35">
        <f t="shared" si="39"/>
        <v>235.6</v>
      </c>
      <c r="BD65" s="35">
        <f t="shared" si="40"/>
        <v>38</v>
      </c>
      <c r="BE65" s="35">
        <v>0</v>
      </c>
      <c r="BF65" s="35">
        <f>65</f>
        <v>65</v>
      </c>
      <c r="BH65" s="64">
        <f t="shared" si="41"/>
        <v>0</v>
      </c>
      <c r="BI65" s="64">
        <f t="shared" si="42"/>
        <v>235.6</v>
      </c>
      <c r="BJ65" s="64">
        <f t="shared" si="43"/>
        <v>235.6</v>
      </c>
      <c r="BK65" s="64" t="s">
        <v>1790</v>
      </c>
      <c r="BL65" s="35">
        <v>767</v>
      </c>
    </row>
    <row r="66" spans="1:64">
      <c r="A66" s="47" t="s">
        <v>251</v>
      </c>
      <c r="B66" s="55" t="s">
        <v>59</v>
      </c>
      <c r="C66" s="55" t="s">
        <v>762</v>
      </c>
      <c r="D66" s="165" t="s">
        <v>1162</v>
      </c>
      <c r="E66" s="166"/>
      <c r="F66" s="166"/>
      <c r="G66" s="55" t="s">
        <v>1631</v>
      </c>
      <c r="H66" s="64">
        <v>58</v>
      </c>
      <c r="I66" s="64">
        <v>87</v>
      </c>
      <c r="J66" s="64">
        <f t="shared" si="22"/>
        <v>0</v>
      </c>
      <c r="K66" s="64">
        <f t="shared" si="23"/>
        <v>5046</v>
      </c>
      <c r="L66" s="64">
        <f t="shared" si="24"/>
        <v>5046</v>
      </c>
      <c r="M66" s="73" t="s">
        <v>1658</v>
      </c>
      <c r="N66" s="19"/>
      <c r="Z66" s="35">
        <f t="shared" si="25"/>
        <v>0</v>
      </c>
      <c r="AB66" s="35">
        <f t="shared" si="26"/>
        <v>0</v>
      </c>
      <c r="AC66" s="35">
        <f t="shared" si="27"/>
        <v>0</v>
      </c>
      <c r="AD66" s="35">
        <f t="shared" si="28"/>
        <v>0</v>
      </c>
      <c r="AE66" s="35">
        <f t="shared" si="29"/>
        <v>5046</v>
      </c>
      <c r="AF66" s="35">
        <f t="shared" si="30"/>
        <v>0</v>
      </c>
      <c r="AG66" s="35">
        <f t="shared" si="31"/>
        <v>0</v>
      </c>
      <c r="AH66" s="35">
        <f t="shared" si="32"/>
        <v>0</v>
      </c>
      <c r="AI66" s="77" t="s">
        <v>59</v>
      </c>
      <c r="AJ66" s="64">
        <f t="shared" si="33"/>
        <v>0</v>
      </c>
      <c r="AK66" s="64">
        <f t="shared" si="34"/>
        <v>0</v>
      </c>
      <c r="AL66" s="64">
        <f t="shared" si="35"/>
        <v>5046</v>
      </c>
      <c r="AN66" s="35">
        <v>21</v>
      </c>
      <c r="AO66" s="35">
        <f>I66*0</f>
        <v>0</v>
      </c>
      <c r="AP66" s="35">
        <f>I66*(1-0)</f>
        <v>87</v>
      </c>
      <c r="AQ66" s="78" t="s">
        <v>235</v>
      </c>
      <c r="AV66" s="35">
        <f t="shared" si="36"/>
        <v>5046</v>
      </c>
      <c r="AW66" s="35">
        <f t="shared" si="37"/>
        <v>0</v>
      </c>
      <c r="AX66" s="35">
        <f t="shared" si="38"/>
        <v>5046</v>
      </c>
      <c r="AY66" s="80" t="s">
        <v>1675</v>
      </c>
      <c r="AZ66" s="80" t="s">
        <v>1724</v>
      </c>
      <c r="BA66" s="77" t="s">
        <v>1772</v>
      </c>
      <c r="BC66" s="35">
        <f t="shared" si="39"/>
        <v>5046</v>
      </c>
      <c r="BD66" s="35">
        <f t="shared" si="40"/>
        <v>87</v>
      </c>
      <c r="BE66" s="35">
        <v>0</v>
      </c>
      <c r="BF66" s="35">
        <f>66</f>
        <v>66</v>
      </c>
      <c r="BH66" s="64">
        <f t="shared" si="41"/>
        <v>0</v>
      </c>
      <c r="BI66" s="64">
        <f t="shared" si="42"/>
        <v>5046</v>
      </c>
      <c r="BJ66" s="64">
        <f t="shared" si="43"/>
        <v>5046</v>
      </c>
      <c r="BK66" s="64" t="s">
        <v>1790</v>
      </c>
      <c r="BL66" s="35">
        <v>767</v>
      </c>
    </row>
    <row r="67" spans="1:64">
      <c r="A67" s="47" t="s">
        <v>252</v>
      </c>
      <c r="B67" s="55" t="s">
        <v>59</v>
      </c>
      <c r="C67" s="55" t="s">
        <v>763</v>
      </c>
      <c r="D67" s="165" t="s">
        <v>1162</v>
      </c>
      <c r="E67" s="166"/>
      <c r="F67" s="166"/>
      <c r="G67" s="55" t="s">
        <v>1631</v>
      </c>
      <c r="H67" s="64">
        <v>56</v>
      </c>
      <c r="I67" s="64">
        <v>87</v>
      </c>
      <c r="J67" s="64">
        <f t="shared" si="22"/>
        <v>0</v>
      </c>
      <c r="K67" s="64">
        <f t="shared" si="23"/>
        <v>4872</v>
      </c>
      <c r="L67" s="64">
        <f t="shared" si="24"/>
        <v>4872</v>
      </c>
      <c r="M67" s="73" t="s">
        <v>1657</v>
      </c>
      <c r="N67" s="19"/>
      <c r="Z67" s="35">
        <f t="shared" si="25"/>
        <v>0</v>
      </c>
      <c r="AB67" s="35">
        <f t="shared" si="26"/>
        <v>0</v>
      </c>
      <c r="AC67" s="35">
        <f t="shared" si="27"/>
        <v>0</v>
      </c>
      <c r="AD67" s="35">
        <f t="shared" si="28"/>
        <v>0</v>
      </c>
      <c r="AE67" s="35">
        <f t="shared" si="29"/>
        <v>4872</v>
      </c>
      <c r="AF67" s="35">
        <f t="shared" si="30"/>
        <v>0</v>
      </c>
      <c r="AG67" s="35">
        <f t="shared" si="31"/>
        <v>0</v>
      </c>
      <c r="AH67" s="35">
        <f t="shared" si="32"/>
        <v>0</v>
      </c>
      <c r="AI67" s="77" t="s">
        <v>59</v>
      </c>
      <c r="AJ67" s="64">
        <f t="shared" si="33"/>
        <v>0</v>
      </c>
      <c r="AK67" s="64">
        <f t="shared" si="34"/>
        <v>0</v>
      </c>
      <c r="AL67" s="64">
        <f t="shared" si="35"/>
        <v>4872</v>
      </c>
      <c r="AN67" s="35">
        <v>21</v>
      </c>
      <c r="AO67" s="35">
        <f>I67*0</f>
        <v>0</v>
      </c>
      <c r="AP67" s="35">
        <f>I67*(1-0)</f>
        <v>87</v>
      </c>
      <c r="AQ67" s="78" t="s">
        <v>235</v>
      </c>
      <c r="AV67" s="35">
        <f t="shared" si="36"/>
        <v>4872</v>
      </c>
      <c r="AW67" s="35">
        <f t="shared" si="37"/>
        <v>0</v>
      </c>
      <c r="AX67" s="35">
        <f t="shared" si="38"/>
        <v>4872</v>
      </c>
      <c r="AY67" s="80" t="s">
        <v>1675</v>
      </c>
      <c r="AZ67" s="80" t="s">
        <v>1724</v>
      </c>
      <c r="BA67" s="77" t="s">
        <v>1772</v>
      </c>
      <c r="BC67" s="35">
        <f t="shared" si="39"/>
        <v>4872</v>
      </c>
      <c r="BD67" s="35">
        <f t="shared" si="40"/>
        <v>87</v>
      </c>
      <c r="BE67" s="35">
        <v>0</v>
      </c>
      <c r="BF67" s="35">
        <f>67</f>
        <v>67</v>
      </c>
      <c r="BH67" s="64">
        <f t="shared" si="41"/>
        <v>0</v>
      </c>
      <c r="BI67" s="64">
        <f t="shared" si="42"/>
        <v>4872</v>
      </c>
      <c r="BJ67" s="64">
        <f t="shared" si="43"/>
        <v>4872</v>
      </c>
      <c r="BK67" s="64" t="s">
        <v>1790</v>
      </c>
      <c r="BL67" s="35">
        <v>767</v>
      </c>
    </row>
    <row r="68" spans="1:64">
      <c r="A68" s="48" t="s">
        <v>253</v>
      </c>
      <c r="B68" s="56" t="s">
        <v>59</v>
      </c>
      <c r="C68" s="56" t="s">
        <v>764</v>
      </c>
      <c r="D68" s="170" t="s">
        <v>1163</v>
      </c>
      <c r="E68" s="171"/>
      <c r="F68" s="171"/>
      <c r="G68" s="56" t="s">
        <v>1633</v>
      </c>
      <c r="H68" s="65">
        <v>28</v>
      </c>
      <c r="I68" s="65">
        <v>76</v>
      </c>
      <c r="J68" s="65">
        <f t="shared" si="22"/>
        <v>2128</v>
      </c>
      <c r="K68" s="65">
        <f t="shared" si="23"/>
        <v>0</v>
      </c>
      <c r="L68" s="65">
        <f t="shared" si="24"/>
        <v>2128</v>
      </c>
      <c r="M68" s="74" t="s">
        <v>1658</v>
      </c>
      <c r="N68" s="19"/>
      <c r="Z68" s="35">
        <f t="shared" si="25"/>
        <v>0</v>
      </c>
      <c r="AB68" s="35">
        <f t="shared" si="26"/>
        <v>0</v>
      </c>
      <c r="AC68" s="35">
        <f t="shared" si="27"/>
        <v>0</v>
      </c>
      <c r="AD68" s="35">
        <f t="shared" si="28"/>
        <v>2128</v>
      </c>
      <c r="AE68" s="35">
        <f t="shared" si="29"/>
        <v>0</v>
      </c>
      <c r="AF68" s="35">
        <f t="shared" si="30"/>
        <v>0</v>
      </c>
      <c r="AG68" s="35">
        <f t="shared" si="31"/>
        <v>0</v>
      </c>
      <c r="AH68" s="35">
        <f t="shared" si="32"/>
        <v>0</v>
      </c>
      <c r="AI68" s="77" t="s">
        <v>59</v>
      </c>
      <c r="AJ68" s="65">
        <f t="shared" si="33"/>
        <v>0</v>
      </c>
      <c r="AK68" s="65">
        <f t="shared" si="34"/>
        <v>0</v>
      </c>
      <c r="AL68" s="65">
        <f t="shared" si="35"/>
        <v>2128</v>
      </c>
      <c r="AN68" s="35">
        <v>21</v>
      </c>
      <c r="AO68" s="35">
        <f>I68*1</f>
        <v>76</v>
      </c>
      <c r="AP68" s="35">
        <f>I68*(1-1)</f>
        <v>0</v>
      </c>
      <c r="AQ68" s="79" t="s">
        <v>235</v>
      </c>
      <c r="AV68" s="35">
        <f t="shared" si="36"/>
        <v>2128</v>
      </c>
      <c r="AW68" s="35">
        <f t="shared" si="37"/>
        <v>2128</v>
      </c>
      <c r="AX68" s="35">
        <f t="shared" si="38"/>
        <v>0</v>
      </c>
      <c r="AY68" s="80" t="s">
        <v>1675</v>
      </c>
      <c r="AZ68" s="80" t="s">
        <v>1724</v>
      </c>
      <c r="BA68" s="77" t="s">
        <v>1772</v>
      </c>
      <c r="BC68" s="35">
        <f t="shared" si="39"/>
        <v>2128</v>
      </c>
      <c r="BD68" s="35">
        <f t="shared" si="40"/>
        <v>76</v>
      </c>
      <c r="BE68" s="35">
        <v>0</v>
      </c>
      <c r="BF68" s="35">
        <f>68</f>
        <v>68</v>
      </c>
      <c r="BH68" s="65">
        <f t="shared" si="41"/>
        <v>2128</v>
      </c>
      <c r="BI68" s="65">
        <f t="shared" si="42"/>
        <v>0</v>
      </c>
      <c r="BJ68" s="65">
        <f t="shared" si="43"/>
        <v>2128</v>
      </c>
      <c r="BK68" s="65" t="s">
        <v>1642</v>
      </c>
      <c r="BL68" s="35">
        <v>767</v>
      </c>
    </row>
    <row r="69" spans="1:64">
      <c r="A69" s="48" t="s">
        <v>254</v>
      </c>
      <c r="B69" s="56" t="s">
        <v>59</v>
      </c>
      <c r="C69" s="56" t="s">
        <v>765</v>
      </c>
      <c r="D69" s="170" t="s">
        <v>1164</v>
      </c>
      <c r="E69" s="171"/>
      <c r="F69" s="171"/>
      <c r="G69" s="56" t="s">
        <v>1636</v>
      </c>
      <c r="H69" s="65">
        <v>54</v>
      </c>
      <c r="I69" s="65">
        <v>177</v>
      </c>
      <c r="J69" s="65">
        <f t="shared" si="22"/>
        <v>9558</v>
      </c>
      <c r="K69" s="65">
        <f t="shared" si="23"/>
        <v>0</v>
      </c>
      <c r="L69" s="65">
        <f t="shared" si="24"/>
        <v>9558</v>
      </c>
      <c r="M69" s="74" t="s">
        <v>1658</v>
      </c>
      <c r="N69" s="19"/>
      <c r="Z69" s="35">
        <f t="shared" si="25"/>
        <v>0</v>
      </c>
      <c r="AB69" s="35">
        <f t="shared" si="26"/>
        <v>0</v>
      </c>
      <c r="AC69" s="35">
        <f t="shared" si="27"/>
        <v>0</v>
      </c>
      <c r="AD69" s="35">
        <f t="shared" si="28"/>
        <v>9558</v>
      </c>
      <c r="AE69" s="35">
        <f t="shared" si="29"/>
        <v>0</v>
      </c>
      <c r="AF69" s="35">
        <f t="shared" si="30"/>
        <v>0</v>
      </c>
      <c r="AG69" s="35">
        <f t="shared" si="31"/>
        <v>0</v>
      </c>
      <c r="AH69" s="35">
        <f t="shared" si="32"/>
        <v>0</v>
      </c>
      <c r="AI69" s="77" t="s">
        <v>59</v>
      </c>
      <c r="AJ69" s="65">
        <f t="shared" si="33"/>
        <v>0</v>
      </c>
      <c r="AK69" s="65">
        <f t="shared" si="34"/>
        <v>0</v>
      </c>
      <c r="AL69" s="65">
        <f t="shared" si="35"/>
        <v>9558</v>
      </c>
      <c r="AN69" s="35">
        <v>21</v>
      </c>
      <c r="AO69" s="35">
        <f>I69*1</f>
        <v>177</v>
      </c>
      <c r="AP69" s="35">
        <f>I69*(1-1)</f>
        <v>0</v>
      </c>
      <c r="AQ69" s="79" t="s">
        <v>235</v>
      </c>
      <c r="AV69" s="35">
        <f t="shared" si="36"/>
        <v>9558</v>
      </c>
      <c r="AW69" s="35">
        <f t="shared" si="37"/>
        <v>9558</v>
      </c>
      <c r="AX69" s="35">
        <f t="shared" si="38"/>
        <v>0</v>
      </c>
      <c r="AY69" s="80" t="s">
        <v>1675</v>
      </c>
      <c r="AZ69" s="80" t="s">
        <v>1724</v>
      </c>
      <c r="BA69" s="77" t="s">
        <v>1772</v>
      </c>
      <c r="BC69" s="35">
        <f t="shared" si="39"/>
        <v>9558</v>
      </c>
      <c r="BD69" s="35">
        <f t="shared" si="40"/>
        <v>177</v>
      </c>
      <c r="BE69" s="35">
        <v>0</v>
      </c>
      <c r="BF69" s="35">
        <f>69</f>
        <v>69</v>
      </c>
      <c r="BH69" s="65">
        <f t="shared" si="41"/>
        <v>9558</v>
      </c>
      <c r="BI69" s="65">
        <f t="shared" si="42"/>
        <v>0</v>
      </c>
      <c r="BJ69" s="65">
        <f t="shared" si="43"/>
        <v>9558</v>
      </c>
      <c r="BK69" s="65" t="s">
        <v>1642</v>
      </c>
      <c r="BL69" s="35">
        <v>767</v>
      </c>
    </row>
    <row r="70" spans="1:64">
      <c r="A70" s="48" t="s">
        <v>255</v>
      </c>
      <c r="B70" s="56" t="s">
        <v>59</v>
      </c>
      <c r="C70" s="56" t="s">
        <v>766</v>
      </c>
      <c r="D70" s="170" t="s">
        <v>1165</v>
      </c>
      <c r="E70" s="171"/>
      <c r="F70" s="171"/>
      <c r="G70" s="56" t="s">
        <v>1636</v>
      </c>
      <c r="H70" s="65">
        <v>2</v>
      </c>
      <c r="I70" s="65">
        <v>307</v>
      </c>
      <c r="J70" s="65">
        <f t="shared" si="22"/>
        <v>614</v>
      </c>
      <c r="K70" s="65">
        <f t="shared" si="23"/>
        <v>0</v>
      </c>
      <c r="L70" s="65">
        <f t="shared" si="24"/>
        <v>614</v>
      </c>
      <c r="M70" s="74" t="s">
        <v>1658</v>
      </c>
      <c r="N70" s="19"/>
      <c r="Z70" s="35">
        <f t="shared" si="25"/>
        <v>0</v>
      </c>
      <c r="AB70" s="35">
        <f t="shared" si="26"/>
        <v>0</v>
      </c>
      <c r="AC70" s="35">
        <f t="shared" si="27"/>
        <v>0</v>
      </c>
      <c r="AD70" s="35">
        <f t="shared" si="28"/>
        <v>614</v>
      </c>
      <c r="AE70" s="35">
        <f t="shared" si="29"/>
        <v>0</v>
      </c>
      <c r="AF70" s="35">
        <f t="shared" si="30"/>
        <v>0</v>
      </c>
      <c r="AG70" s="35">
        <f t="shared" si="31"/>
        <v>0</v>
      </c>
      <c r="AH70" s="35">
        <f t="shared" si="32"/>
        <v>0</v>
      </c>
      <c r="AI70" s="77" t="s">
        <v>59</v>
      </c>
      <c r="AJ70" s="65">
        <f t="shared" si="33"/>
        <v>0</v>
      </c>
      <c r="AK70" s="65">
        <f t="shared" si="34"/>
        <v>0</v>
      </c>
      <c r="AL70" s="65">
        <f t="shared" si="35"/>
        <v>614</v>
      </c>
      <c r="AN70" s="35">
        <v>21</v>
      </c>
      <c r="AO70" s="35">
        <f>I70*1</f>
        <v>307</v>
      </c>
      <c r="AP70" s="35">
        <f>I70*(1-1)</f>
        <v>0</v>
      </c>
      <c r="AQ70" s="79" t="s">
        <v>235</v>
      </c>
      <c r="AV70" s="35">
        <f t="shared" si="36"/>
        <v>614</v>
      </c>
      <c r="AW70" s="35">
        <f t="shared" si="37"/>
        <v>614</v>
      </c>
      <c r="AX70" s="35">
        <f t="shared" si="38"/>
        <v>0</v>
      </c>
      <c r="AY70" s="80" t="s">
        <v>1675</v>
      </c>
      <c r="AZ70" s="80" t="s">
        <v>1724</v>
      </c>
      <c r="BA70" s="77" t="s">
        <v>1772</v>
      </c>
      <c r="BC70" s="35">
        <f t="shared" si="39"/>
        <v>614</v>
      </c>
      <c r="BD70" s="35">
        <f t="shared" si="40"/>
        <v>307</v>
      </c>
      <c r="BE70" s="35">
        <v>0</v>
      </c>
      <c r="BF70" s="35">
        <f>70</f>
        <v>70</v>
      </c>
      <c r="BH70" s="65">
        <f t="shared" si="41"/>
        <v>614</v>
      </c>
      <c r="BI70" s="65">
        <f t="shared" si="42"/>
        <v>0</v>
      </c>
      <c r="BJ70" s="65">
        <f t="shared" si="43"/>
        <v>614</v>
      </c>
      <c r="BK70" s="65" t="s">
        <v>1642</v>
      </c>
      <c r="BL70" s="35">
        <v>767</v>
      </c>
    </row>
    <row r="71" spans="1:64">
      <c r="A71" s="47" t="s">
        <v>256</v>
      </c>
      <c r="B71" s="55" t="s">
        <v>59</v>
      </c>
      <c r="C71" s="55" t="s">
        <v>767</v>
      </c>
      <c r="D71" s="165" t="s">
        <v>1166</v>
      </c>
      <c r="E71" s="166"/>
      <c r="F71" s="166"/>
      <c r="G71" s="55" t="s">
        <v>1632</v>
      </c>
      <c r="H71" s="64">
        <v>8.94</v>
      </c>
      <c r="I71" s="64">
        <v>119</v>
      </c>
      <c r="J71" s="64">
        <f t="shared" si="22"/>
        <v>0</v>
      </c>
      <c r="K71" s="64">
        <f t="shared" si="23"/>
        <v>1063.8599999999999</v>
      </c>
      <c r="L71" s="64">
        <f t="shared" si="24"/>
        <v>1063.8599999999999</v>
      </c>
      <c r="M71" s="73" t="s">
        <v>1658</v>
      </c>
      <c r="N71" s="19"/>
      <c r="Z71" s="35">
        <f t="shared" si="25"/>
        <v>0</v>
      </c>
      <c r="AB71" s="35">
        <f t="shared" si="26"/>
        <v>0</v>
      </c>
      <c r="AC71" s="35">
        <f t="shared" si="27"/>
        <v>0</v>
      </c>
      <c r="AD71" s="35">
        <f t="shared" si="28"/>
        <v>0</v>
      </c>
      <c r="AE71" s="35">
        <f t="shared" si="29"/>
        <v>1063.8599999999999</v>
      </c>
      <c r="AF71" s="35">
        <f t="shared" si="30"/>
        <v>0</v>
      </c>
      <c r="AG71" s="35">
        <f t="shared" si="31"/>
        <v>0</v>
      </c>
      <c r="AH71" s="35">
        <f t="shared" si="32"/>
        <v>0</v>
      </c>
      <c r="AI71" s="77" t="s">
        <v>59</v>
      </c>
      <c r="AJ71" s="64">
        <f t="shared" si="33"/>
        <v>0</v>
      </c>
      <c r="AK71" s="64">
        <f t="shared" si="34"/>
        <v>0</v>
      </c>
      <c r="AL71" s="64">
        <f t="shared" si="35"/>
        <v>1063.8599999999999</v>
      </c>
      <c r="AN71" s="35">
        <v>21</v>
      </c>
      <c r="AO71" s="35">
        <f t="shared" ref="AO71:AO78" si="44">I71*0</f>
        <v>0</v>
      </c>
      <c r="AP71" s="35">
        <f t="shared" ref="AP71:AP78" si="45">I71*(1-0)</f>
        <v>119</v>
      </c>
      <c r="AQ71" s="78" t="s">
        <v>235</v>
      </c>
      <c r="AV71" s="35">
        <f t="shared" si="36"/>
        <v>1063.8599999999999</v>
      </c>
      <c r="AW71" s="35">
        <f t="shared" si="37"/>
        <v>0</v>
      </c>
      <c r="AX71" s="35">
        <f t="shared" si="38"/>
        <v>1063.8599999999999</v>
      </c>
      <c r="AY71" s="80" t="s">
        <v>1675</v>
      </c>
      <c r="AZ71" s="80" t="s">
        <v>1724</v>
      </c>
      <c r="BA71" s="77" t="s">
        <v>1772</v>
      </c>
      <c r="BC71" s="35">
        <f t="shared" si="39"/>
        <v>1063.8599999999999</v>
      </c>
      <c r="BD71" s="35">
        <f t="shared" si="40"/>
        <v>119</v>
      </c>
      <c r="BE71" s="35">
        <v>0</v>
      </c>
      <c r="BF71" s="35">
        <f>71</f>
        <v>71</v>
      </c>
      <c r="BH71" s="64">
        <f t="shared" si="41"/>
        <v>0</v>
      </c>
      <c r="BI71" s="64">
        <f t="shared" si="42"/>
        <v>1063.8599999999999</v>
      </c>
      <c r="BJ71" s="64">
        <f t="shared" si="43"/>
        <v>1063.8599999999999</v>
      </c>
      <c r="BK71" s="64" t="s">
        <v>1790</v>
      </c>
      <c r="BL71" s="35">
        <v>767</v>
      </c>
    </row>
    <row r="72" spans="1:64">
      <c r="A72" s="47" t="s">
        <v>257</v>
      </c>
      <c r="B72" s="55" t="s">
        <v>59</v>
      </c>
      <c r="C72" s="55" t="s">
        <v>768</v>
      </c>
      <c r="D72" s="165" t="s">
        <v>1167</v>
      </c>
      <c r="E72" s="166"/>
      <c r="F72" s="166"/>
      <c r="G72" s="55" t="s">
        <v>1632</v>
      </c>
      <c r="H72" s="64">
        <v>4.95</v>
      </c>
      <c r="I72" s="64">
        <v>243</v>
      </c>
      <c r="J72" s="64">
        <f t="shared" si="22"/>
        <v>0</v>
      </c>
      <c r="K72" s="64">
        <f t="shared" si="23"/>
        <v>1202.8500000000001</v>
      </c>
      <c r="L72" s="64">
        <f t="shared" si="24"/>
        <v>1202.8500000000001</v>
      </c>
      <c r="M72" s="73" t="s">
        <v>1657</v>
      </c>
      <c r="N72" s="19"/>
      <c r="Z72" s="35">
        <f t="shared" si="25"/>
        <v>0</v>
      </c>
      <c r="AB72" s="35">
        <f t="shared" si="26"/>
        <v>0</v>
      </c>
      <c r="AC72" s="35">
        <f t="shared" si="27"/>
        <v>0</v>
      </c>
      <c r="AD72" s="35">
        <f t="shared" si="28"/>
        <v>0</v>
      </c>
      <c r="AE72" s="35">
        <f t="shared" si="29"/>
        <v>1202.8500000000001</v>
      </c>
      <c r="AF72" s="35">
        <f t="shared" si="30"/>
        <v>0</v>
      </c>
      <c r="AG72" s="35">
        <f t="shared" si="31"/>
        <v>0</v>
      </c>
      <c r="AH72" s="35">
        <f t="shared" si="32"/>
        <v>0</v>
      </c>
      <c r="AI72" s="77" t="s">
        <v>59</v>
      </c>
      <c r="AJ72" s="64">
        <f t="shared" si="33"/>
        <v>0</v>
      </c>
      <c r="AK72" s="64">
        <f t="shared" si="34"/>
        <v>0</v>
      </c>
      <c r="AL72" s="64">
        <f t="shared" si="35"/>
        <v>1202.8500000000001</v>
      </c>
      <c r="AN72" s="35">
        <v>21</v>
      </c>
      <c r="AO72" s="35">
        <f t="shared" si="44"/>
        <v>0</v>
      </c>
      <c r="AP72" s="35">
        <f t="shared" si="45"/>
        <v>243</v>
      </c>
      <c r="AQ72" s="78" t="s">
        <v>235</v>
      </c>
      <c r="AV72" s="35">
        <f t="shared" si="36"/>
        <v>1202.8500000000001</v>
      </c>
      <c r="AW72" s="35">
        <f t="shared" si="37"/>
        <v>0</v>
      </c>
      <c r="AX72" s="35">
        <f t="shared" si="38"/>
        <v>1202.8500000000001</v>
      </c>
      <c r="AY72" s="80" t="s">
        <v>1675</v>
      </c>
      <c r="AZ72" s="80" t="s">
        <v>1724</v>
      </c>
      <c r="BA72" s="77" t="s">
        <v>1772</v>
      </c>
      <c r="BC72" s="35">
        <f t="shared" si="39"/>
        <v>1202.8500000000001</v>
      </c>
      <c r="BD72" s="35">
        <f t="shared" si="40"/>
        <v>243.00000000000003</v>
      </c>
      <c r="BE72" s="35">
        <v>0</v>
      </c>
      <c r="BF72" s="35">
        <f>72</f>
        <v>72</v>
      </c>
      <c r="BH72" s="64">
        <f t="shared" si="41"/>
        <v>0</v>
      </c>
      <c r="BI72" s="64">
        <f t="shared" si="42"/>
        <v>1202.8500000000001</v>
      </c>
      <c r="BJ72" s="64">
        <f t="shared" si="43"/>
        <v>1202.8500000000001</v>
      </c>
      <c r="BK72" s="64" t="s">
        <v>1790</v>
      </c>
      <c r="BL72" s="35">
        <v>767</v>
      </c>
    </row>
    <row r="73" spans="1:64">
      <c r="A73" s="47" t="s">
        <v>258</v>
      </c>
      <c r="B73" s="55" t="s">
        <v>59</v>
      </c>
      <c r="C73" s="55" t="s">
        <v>769</v>
      </c>
      <c r="D73" s="165" t="s">
        <v>1168</v>
      </c>
      <c r="E73" s="166"/>
      <c r="F73" s="166"/>
      <c r="G73" s="55" t="s">
        <v>1632</v>
      </c>
      <c r="H73" s="64">
        <v>3.99</v>
      </c>
      <c r="I73" s="64">
        <v>166</v>
      </c>
      <c r="J73" s="64">
        <f t="shared" si="22"/>
        <v>0</v>
      </c>
      <c r="K73" s="64">
        <f t="shared" si="23"/>
        <v>662.34</v>
      </c>
      <c r="L73" s="64">
        <f t="shared" si="24"/>
        <v>662.34</v>
      </c>
      <c r="M73" s="73" t="s">
        <v>1657</v>
      </c>
      <c r="N73" s="19"/>
      <c r="Z73" s="35">
        <f t="shared" si="25"/>
        <v>0</v>
      </c>
      <c r="AB73" s="35">
        <f t="shared" si="26"/>
        <v>0</v>
      </c>
      <c r="AC73" s="35">
        <f t="shared" si="27"/>
        <v>0</v>
      </c>
      <c r="AD73" s="35">
        <f t="shared" si="28"/>
        <v>0</v>
      </c>
      <c r="AE73" s="35">
        <f t="shared" si="29"/>
        <v>662.34</v>
      </c>
      <c r="AF73" s="35">
        <f t="shared" si="30"/>
        <v>0</v>
      </c>
      <c r="AG73" s="35">
        <f t="shared" si="31"/>
        <v>0</v>
      </c>
      <c r="AH73" s="35">
        <f t="shared" si="32"/>
        <v>0</v>
      </c>
      <c r="AI73" s="77" t="s">
        <v>59</v>
      </c>
      <c r="AJ73" s="64">
        <f t="shared" si="33"/>
        <v>0</v>
      </c>
      <c r="AK73" s="64">
        <f t="shared" si="34"/>
        <v>0</v>
      </c>
      <c r="AL73" s="64">
        <f t="shared" si="35"/>
        <v>662.34</v>
      </c>
      <c r="AN73" s="35">
        <v>21</v>
      </c>
      <c r="AO73" s="35">
        <f t="shared" si="44"/>
        <v>0</v>
      </c>
      <c r="AP73" s="35">
        <f t="shared" si="45"/>
        <v>166</v>
      </c>
      <c r="AQ73" s="78" t="s">
        <v>235</v>
      </c>
      <c r="AV73" s="35">
        <f t="shared" si="36"/>
        <v>662.34</v>
      </c>
      <c r="AW73" s="35">
        <f t="shared" si="37"/>
        <v>0</v>
      </c>
      <c r="AX73" s="35">
        <f t="shared" si="38"/>
        <v>662.34</v>
      </c>
      <c r="AY73" s="80" t="s">
        <v>1675</v>
      </c>
      <c r="AZ73" s="80" t="s">
        <v>1724</v>
      </c>
      <c r="BA73" s="77" t="s">
        <v>1772</v>
      </c>
      <c r="BC73" s="35">
        <f t="shared" si="39"/>
        <v>662.34</v>
      </c>
      <c r="BD73" s="35">
        <f t="shared" si="40"/>
        <v>166</v>
      </c>
      <c r="BE73" s="35">
        <v>0</v>
      </c>
      <c r="BF73" s="35">
        <f>73</f>
        <v>73</v>
      </c>
      <c r="BH73" s="64">
        <f t="shared" si="41"/>
        <v>0</v>
      </c>
      <c r="BI73" s="64">
        <f t="shared" si="42"/>
        <v>662.34</v>
      </c>
      <c r="BJ73" s="64">
        <f t="shared" si="43"/>
        <v>662.34</v>
      </c>
      <c r="BK73" s="64" t="s">
        <v>1790</v>
      </c>
      <c r="BL73" s="35">
        <v>767</v>
      </c>
    </row>
    <row r="74" spans="1:64">
      <c r="A74" s="47" t="s">
        <v>259</v>
      </c>
      <c r="B74" s="55" t="s">
        <v>59</v>
      </c>
      <c r="C74" s="55" t="s">
        <v>767</v>
      </c>
      <c r="D74" s="165" t="s">
        <v>1169</v>
      </c>
      <c r="E74" s="166"/>
      <c r="F74" s="166"/>
      <c r="G74" s="55" t="s">
        <v>1633</v>
      </c>
      <c r="H74" s="64">
        <v>17.2</v>
      </c>
      <c r="I74" s="64">
        <v>206</v>
      </c>
      <c r="J74" s="64">
        <f t="shared" si="22"/>
        <v>0</v>
      </c>
      <c r="K74" s="64">
        <f t="shared" si="23"/>
        <v>3543.2</v>
      </c>
      <c r="L74" s="64">
        <f t="shared" si="24"/>
        <v>3543.2</v>
      </c>
      <c r="M74" s="73" t="s">
        <v>1658</v>
      </c>
      <c r="N74" s="19"/>
      <c r="Z74" s="35">
        <f t="shared" si="25"/>
        <v>0</v>
      </c>
      <c r="AB74" s="35">
        <f t="shared" si="26"/>
        <v>0</v>
      </c>
      <c r="AC74" s="35">
        <f t="shared" si="27"/>
        <v>0</v>
      </c>
      <c r="AD74" s="35">
        <f t="shared" si="28"/>
        <v>0</v>
      </c>
      <c r="AE74" s="35">
        <f t="shared" si="29"/>
        <v>3543.2</v>
      </c>
      <c r="AF74" s="35">
        <f t="shared" si="30"/>
        <v>0</v>
      </c>
      <c r="AG74" s="35">
        <f t="shared" si="31"/>
        <v>0</v>
      </c>
      <c r="AH74" s="35">
        <f t="shared" si="32"/>
        <v>0</v>
      </c>
      <c r="AI74" s="77" t="s">
        <v>59</v>
      </c>
      <c r="AJ74" s="64">
        <f t="shared" si="33"/>
        <v>0</v>
      </c>
      <c r="AK74" s="64">
        <f t="shared" si="34"/>
        <v>0</v>
      </c>
      <c r="AL74" s="64">
        <f t="shared" si="35"/>
        <v>3543.2</v>
      </c>
      <c r="AN74" s="35">
        <v>21</v>
      </c>
      <c r="AO74" s="35">
        <f t="shared" si="44"/>
        <v>0</v>
      </c>
      <c r="AP74" s="35">
        <f t="shared" si="45"/>
        <v>206</v>
      </c>
      <c r="AQ74" s="78" t="s">
        <v>235</v>
      </c>
      <c r="AV74" s="35">
        <f t="shared" si="36"/>
        <v>3543.2</v>
      </c>
      <c r="AW74" s="35">
        <f t="shared" si="37"/>
        <v>0</v>
      </c>
      <c r="AX74" s="35">
        <f t="shared" si="38"/>
        <v>3543.2</v>
      </c>
      <c r="AY74" s="80" t="s">
        <v>1675</v>
      </c>
      <c r="AZ74" s="80" t="s">
        <v>1724</v>
      </c>
      <c r="BA74" s="77" t="s">
        <v>1772</v>
      </c>
      <c r="BC74" s="35">
        <f t="shared" si="39"/>
        <v>3543.2</v>
      </c>
      <c r="BD74" s="35">
        <f t="shared" si="40"/>
        <v>206</v>
      </c>
      <c r="BE74" s="35">
        <v>0</v>
      </c>
      <c r="BF74" s="35">
        <f>74</f>
        <v>74</v>
      </c>
      <c r="BH74" s="64">
        <f t="shared" si="41"/>
        <v>0</v>
      </c>
      <c r="BI74" s="64">
        <f t="shared" si="42"/>
        <v>3543.2</v>
      </c>
      <c r="BJ74" s="64">
        <f t="shared" si="43"/>
        <v>3543.2</v>
      </c>
      <c r="BK74" s="64" t="s">
        <v>1790</v>
      </c>
      <c r="BL74" s="35">
        <v>767</v>
      </c>
    </row>
    <row r="75" spans="1:64">
      <c r="A75" s="47" t="s">
        <v>166</v>
      </c>
      <c r="B75" s="55" t="s">
        <v>59</v>
      </c>
      <c r="C75" s="55" t="s">
        <v>767</v>
      </c>
      <c r="D75" s="165" t="s">
        <v>1170</v>
      </c>
      <c r="E75" s="166"/>
      <c r="F75" s="166"/>
      <c r="G75" s="55" t="s">
        <v>1636</v>
      </c>
      <c r="H75" s="64">
        <v>1</v>
      </c>
      <c r="I75" s="64">
        <v>2160</v>
      </c>
      <c r="J75" s="64">
        <f t="shared" si="22"/>
        <v>0</v>
      </c>
      <c r="K75" s="64">
        <f t="shared" si="23"/>
        <v>2160</v>
      </c>
      <c r="L75" s="64">
        <f t="shared" si="24"/>
        <v>2160</v>
      </c>
      <c r="M75" s="73" t="s">
        <v>1658</v>
      </c>
      <c r="N75" s="19"/>
      <c r="Z75" s="35">
        <f t="shared" si="25"/>
        <v>0</v>
      </c>
      <c r="AB75" s="35">
        <f t="shared" si="26"/>
        <v>0</v>
      </c>
      <c r="AC75" s="35">
        <f t="shared" si="27"/>
        <v>0</v>
      </c>
      <c r="AD75" s="35">
        <f t="shared" si="28"/>
        <v>0</v>
      </c>
      <c r="AE75" s="35">
        <f t="shared" si="29"/>
        <v>2160</v>
      </c>
      <c r="AF75" s="35">
        <f t="shared" si="30"/>
        <v>0</v>
      </c>
      <c r="AG75" s="35">
        <f t="shared" si="31"/>
        <v>0</v>
      </c>
      <c r="AH75" s="35">
        <f t="shared" si="32"/>
        <v>0</v>
      </c>
      <c r="AI75" s="77" t="s">
        <v>59</v>
      </c>
      <c r="AJ75" s="64">
        <f t="shared" si="33"/>
        <v>0</v>
      </c>
      <c r="AK75" s="64">
        <f t="shared" si="34"/>
        <v>0</v>
      </c>
      <c r="AL75" s="64">
        <f t="shared" si="35"/>
        <v>2160</v>
      </c>
      <c r="AN75" s="35">
        <v>21</v>
      </c>
      <c r="AO75" s="35">
        <f t="shared" si="44"/>
        <v>0</v>
      </c>
      <c r="AP75" s="35">
        <f t="shared" si="45"/>
        <v>2160</v>
      </c>
      <c r="AQ75" s="78" t="s">
        <v>235</v>
      </c>
      <c r="AV75" s="35">
        <f t="shared" si="36"/>
        <v>2160</v>
      </c>
      <c r="AW75" s="35">
        <f t="shared" si="37"/>
        <v>0</v>
      </c>
      <c r="AX75" s="35">
        <f t="shared" si="38"/>
        <v>2160</v>
      </c>
      <c r="AY75" s="80" t="s">
        <v>1675</v>
      </c>
      <c r="AZ75" s="80" t="s">
        <v>1724</v>
      </c>
      <c r="BA75" s="77" t="s">
        <v>1772</v>
      </c>
      <c r="BC75" s="35">
        <f t="shared" si="39"/>
        <v>2160</v>
      </c>
      <c r="BD75" s="35">
        <f t="shared" si="40"/>
        <v>2160</v>
      </c>
      <c r="BE75" s="35">
        <v>0</v>
      </c>
      <c r="BF75" s="35">
        <f>75</f>
        <v>75</v>
      </c>
      <c r="BH75" s="64">
        <f t="shared" si="41"/>
        <v>0</v>
      </c>
      <c r="BI75" s="64">
        <f t="shared" si="42"/>
        <v>2160</v>
      </c>
      <c r="BJ75" s="64">
        <f t="shared" si="43"/>
        <v>2160</v>
      </c>
      <c r="BK75" s="64" t="s">
        <v>1790</v>
      </c>
      <c r="BL75" s="35">
        <v>767</v>
      </c>
    </row>
    <row r="76" spans="1:64">
      <c r="A76" s="47" t="s">
        <v>260</v>
      </c>
      <c r="B76" s="55" t="s">
        <v>59</v>
      </c>
      <c r="C76" s="55" t="s">
        <v>767</v>
      </c>
      <c r="D76" s="165" t="s">
        <v>1171</v>
      </c>
      <c r="E76" s="166"/>
      <c r="F76" s="166"/>
      <c r="G76" s="55" t="s">
        <v>1632</v>
      </c>
      <c r="H76" s="64">
        <v>1.26</v>
      </c>
      <c r="I76" s="64">
        <v>2016</v>
      </c>
      <c r="J76" s="64">
        <f t="shared" si="22"/>
        <v>0</v>
      </c>
      <c r="K76" s="64">
        <f t="shared" si="23"/>
        <v>2540.16</v>
      </c>
      <c r="L76" s="64">
        <f t="shared" si="24"/>
        <v>2540.16</v>
      </c>
      <c r="M76" s="73" t="s">
        <v>1658</v>
      </c>
      <c r="N76" s="19"/>
      <c r="Z76" s="35">
        <f t="shared" si="25"/>
        <v>0</v>
      </c>
      <c r="AB76" s="35">
        <f t="shared" si="26"/>
        <v>0</v>
      </c>
      <c r="AC76" s="35">
        <f t="shared" si="27"/>
        <v>0</v>
      </c>
      <c r="AD76" s="35">
        <f t="shared" si="28"/>
        <v>0</v>
      </c>
      <c r="AE76" s="35">
        <f t="shared" si="29"/>
        <v>2540.16</v>
      </c>
      <c r="AF76" s="35">
        <f t="shared" si="30"/>
        <v>0</v>
      </c>
      <c r="AG76" s="35">
        <f t="shared" si="31"/>
        <v>0</v>
      </c>
      <c r="AH76" s="35">
        <f t="shared" si="32"/>
        <v>0</v>
      </c>
      <c r="AI76" s="77" t="s">
        <v>59</v>
      </c>
      <c r="AJ76" s="64">
        <f t="shared" si="33"/>
        <v>0</v>
      </c>
      <c r="AK76" s="64">
        <f t="shared" si="34"/>
        <v>0</v>
      </c>
      <c r="AL76" s="64">
        <f t="shared" si="35"/>
        <v>2540.16</v>
      </c>
      <c r="AN76" s="35">
        <v>21</v>
      </c>
      <c r="AO76" s="35">
        <f t="shared" si="44"/>
        <v>0</v>
      </c>
      <c r="AP76" s="35">
        <f t="shared" si="45"/>
        <v>2016</v>
      </c>
      <c r="AQ76" s="78" t="s">
        <v>235</v>
      </c>
      <c r="AV76" s="35">
        <f t="shared" si="36"/>
        <v>2540.16</v>
      </c>
      <c r="AW76" s="35">
        <f t="shared" si="37"/>
        <v>0</v>
      </c>
      <c r="AX76" s="35">
        <f t="shared" si="38"/>
        <v>2540.16</v>
      </c>
      <c r="AY76" s="80" t="s">
        <v>1675</v>
      </c>
      <c r="AZ76" s="80" t="s">
        <v>1724</v>
      </c>
      <c r="BA76" s="77" t="s">
        <v>1772</v>
      </c>
      <c r="BC76" s="35">
        <f t="shared" si="39"/>
        <v>2540.16</v>
      </c>
      <c r="BD76" s="35">
        <f t="shared" si="40"/>
        <v>2016</v>
      </c>
      <c r="BE76" s="35">
        <v>0</v>
      </c>
      <c r="BF76" s="35">
        <f>76</f>
        <v>76</v>
      </c>
      <c r="BH76" s="64">
        <f t="shared" si="41"/>
        <v>0</v>
      </c>
      <c r="BI76" s="64">
        <f t="shared" si="42"/>
        <v>2540.16</v>
      </c>
      <c r="BJ76" s="64">
        <f t="shared" si="43"/>
        <v>2540.16</v>
      </c>
      <c r="BK76" s="64" t="s">
        <v>1790</v>
      </c>
      <c r="BL76" s="35">
        <v>767</v>
      </c>
    </row>
    <row r="77" spans="1:64">
      <c r="A77" s="47" t="s">
        <v>173</v>
      </c>
      <c r="B77" s="55" t="s">
        <v>59</v>
      </c>
      <c r="C77" s="55" t="s">
        <v>770</v>
      </c>
      <c r="D77" s="165" t="s">
        <v>1172</v>
      </c>
      <c r="E77" s="166"/>
      <c r="F77" s="166"/>
      <c r="G77" s="55" t="s">
        <v>1637</v>
      </c>
      <c r="H77" s="64">
        <v>9</v>
      </c>
      <c r="I77" s="64">
        <v>42</v>
      </c>
      <c r="J77" s="64">
        <f t="shared" si="22"/>
        <v>0</v>
      </c>
      <c r="K77" s="64">
        <f t="shared" si="23"/>
        <v>378</v>
      </c>
      <c r="L77" s="64">
        <f t="shared" si="24"/>
        <v>378</v>
      </c>
      <c r="M77" s="73" t="s">
        <v>1657</v>
      </c>
      <c r="N77" s="19"/>
      <c r="Z77" s="35">
        <f t="shared" si="25"/>
        <v>0</v>
      </c>
      <c r="AB77" s="35">
        <f t="shared" si="26"/>
        <v>0</v>
      </c>
      <c r="AC77" s="35">
        <f t="shared" si="27"/>
        <v>0</v>
      </c>
      <c r="AD77" s="35">
        <f t="shared" si="28"/>
        <v>0</v>
      </c>
      <c r="AE77" s="35">
        <f t="shared" si="29"/>
        <v>378</v>
      </c>
      <c r="AF77" s="35">
        <f t="shared" si="30"/>
        <v>0</v>
      </c>
      <c r="AG77" s="35">
        <f t="shared" si="31"/>
        <v>0</v>
      </c>
      <c r="AH77" s="35">
        <f t="shared" si="32"/>
        <v>0</v>
      </c>
      <c r="AI77" s="77" t="s">
        <v>59</v>
      </c>
      <c r="AJ77" s="64">
        <f t="shared" si="33"/>
        <v>0</v>
      </c>
      <c r="AK77" s="64">
        <f t="shared" si="34"/>
        <v>0</v>
      </c>
      <c r="AL77" s="64">
        <f t="shared" si="35"/>
        <v>378</v>
      </c>
      <c r="AN77" s="35">
        <v>21</v>
      </c>
      <c r="AO77" s="35">
        <f t="shared" si="44"/>
        <v>0</v>
      </c>
      <c r="AP77" s="35">
        <f t="shared" si="45"/>
        <v>42</v>
      </c>
      <c r="AQ77" s="78" t="s">
        <v>235</v>
      </c>
      <c r="AV77" s="35">
        <f t="shared" si="36"/>
        <v>378</v>
      </c>
      <c r="AW77" s="35">
        <f t="shared" si="37"/>
        <v>0</v>
      </c>
      <c r="AX77" s="35">
        <f t="shared" si="38"/>
        <v>378</v>
      </c>
      <c r="AY77" s="80" t="s">
        <v>1675</v>
      </c>
      <c r="AZ77" s="80" t="s">
        <v>1724</v>
      </c>
      <c r="BA77" s="77" t="s">
        <v>1772</v>
      </c>
      <c r="BC77" s="35">
        <f t="shared" si="39"/>
        <v>378</v>
      </c>
      <c r="BD77" s="35">
        <f t="shared" si="40"/>
        <v>42</v>
      </c>
      <c r="BE77" s="35">
        <v>0</v>
      </c>
      <c r="BF77" s="35">
        <f>77</f>
        <v>77</v>
      </c>
      <c r="BH77" s="64">
        <f t="shared" si="41"/>
        <v>0</v>
      </c>
      <c r="BI77" s="64">
        <f t="shared" si="42"/>
        <v>378</v>
      </c>
      <c r="BJ77" s="64">
        <f t="shared" si="43"/>
        <v>378</v>
      </c>
      <c r="BK77" s="64" t="s">
        <v>1790</v>
      </c>
      <c r="BL77" s="35">
        <v>767</v>
      </c>
    </row>
    <row r="78" spans="1:64">
      <c r="A78" s="47" t="s">
        <v>261</v>
      </c>
      <c r="B78" s="55" t="s">
        <v>59</v>
      </c>
      <c r="C78" s="55" t="s">
        <v>771</v>
      </c>
      <c r="D78" s="165" t="s">
        <v>1173</v>
      </c>
      <c r="E78" s="166"/>
      <c r="F78" s="166"/>
      <c r="G78" s="55" t="s">
        <v>1634</v>
      </c>
      <c r="H78" s="64">
        <v>5.8369999999999998E-2</v>
      </c>
      <c r="I78" s="64">
        <v>946</v>
      </c>
      <c r="J78" s="64">
        <f t="shared" si="22"/>
        <v>0</v>
      </c>
      <c r="K78" s="64">
        <f t="shared" si="23"/>
        <v>55.218019999999996</v>
      </c>
      <c r="L78" s="64">
        <f t="shared" si="24"/>
        <v>55.218019999999996</v>
      </c>
      <c r="M78" s="73" t="s">
        <v>1657</v>
      </c>
      <c r="N78" s="19"/>
      <c r="Z78" s="35">
        <f t="shared" si="25"/>
        <v>55.218019999999996</v>
      </c>
      <c r="AB78" s="35">
        <f t="shared" si="26"/>
        <v>0</v>
      </c>
      <c r="AC78" s="35">
        <f t="shared" si="27"/>
        <v>0</v>
      </c>
      <c r="AD78" s="35">
        <f t="shared" si="28"/>
        <v>0</v>
      </c>
      <c r="AE78" s="35">
        <f t="shared" si="29"/>
        <v>0</v>
      </c>
      <c r="AF78" s="35">
        <f t="shared" si="30"/>
        <v>0</v>
      </c>
      <c r="AG78" s="35">
        <f t="shared" si="31"/>
        <v>0</v>
      </c>
      <c r="AH78" s="35">
        <f t="shared" si="32"/>
        <v>0</v>
      </c>
      <c r="AI78" s="77" t="s">
        <v>59</v>
      </c>
      <c r="AJ78" s="64">
        <f t="shared" si="33"/>
        <v>0</v>
      </c>
      <c r="AK78" s="64">
        <f t="shared" si="34"/>
        <v>0</v>
      </c>
      <c r="AL78" s="64">
        <f t="shared" si="35"/>
        <v>55.218019999999996</v>
      </c>
      <c r="AN78" s="35">
        <v>21</v>
      </c>
      <c r="AO78" s="35">
        <f t="shared" si="44"/>
        <v>0</v>
      </c>
      <c r="AP78" s="35">
        <f t="shared" si="45"/>
        <v>946</v>
      </c>
      <c r="AQ78" s="78" t="s">
        <v>112</v>
      </c>
      <c r="AV78" s="35">
        <f t="shared" si="36"/>
        <v>55.218019999999996</v>
      </c>
      <c r="AW78" s="35">
        <f t="shared" si="37"/>
        <v>0</v>
      </c>
      <c r="AX78" s="35">
        <f t="shared" si="38"/>
        <v>55.218019999999996</v>
      </c>
      <c r="AY78" s="80" t="s">
        <v>1675</v>
      </c>
      <c r="AZ78" s="80" t="s">
        <v>1724</v>
      </c>
      <c r="BA78" s="77" t="s">
        <v>1772</v>
      </c>
      <c r="BC78" s="35">
        <f t="shared" si="39"/>
        <v>55.218019999999996</v>
      </c>
      <c r="BD78" s="35">
        <f t="shared" si="40"/>
        <v>946.00000000000011</v>
      </c>
      <c r="BE78" s="35">
        <v>0</v>
      </c>
      <c r="BF78" s="35">
        <f>78</f>
        <v>78</v>
      </c>
      <c r="BH78" s="64">
        <f t="shared" si="41"/>
        <v>0</v>
      </c>
      <c r="BI78" s="64">
        <f t="shared" si="42"/>
        <v>55.218019999999996</v>
      </c>
      <c r="BJ78" s="64">
        <f t="shared" si="43"/>
        <v>55.218019999999996</v>
      </c>
      <c r="BK78" s="64" t="s">
        <v>1790</v>
      </c>
      <c r="BL78" s="35">
        <v>767</v>
      </c>
    </row>
    <row r="79" spans="1:64">
      <c r="A79" s="46"/>
      <c r="B79" s="54" t="s">
        <v>59</v>
      </c>
      <c r="C79" s="54" t="s">
        <v>137</v>
      </c>
      <c r="D79" s="163" t="s">
        <v>188</v>
      </c>
      <c r="E79" s="164"/>
      <c r="F79" s="164"/>
      <c r="G79" s="61" t="s">
        <v>57</v>
      </c>
      <c r="H79" s="61" t="s">
        <v>57</v>
      </c>
      <c r="I79" s="61" t="s">
        <v>57</v>
      </c>
      <c r="J79" s="83">
        <f>SUM(J80:J85)</f>
        <v>1424.26</v>
      </c>
      <c r="K79" s="83">
        <f>SUM(K80:K85)</f>
        <v>4313.42544</v>
      </c>
      <c r="L79" s="83">
        <f>SUM(L80:L85)</f>
        <v>5737.6854400000002</v>
      </c>
      <c r="M79" s="72"/>
      <c r="N79" s="19"/>
      <c r="AI79" s="77" t="s">
        <v>59</v>
      </c>
      <c r="AS79" s="83">
        <f>SUM(AJ80:AJ85)</f>
        <v>0</v>
      </c>
      <c r="AT79" s="83">
        <f>SUM(AK80:AK85)</f>
        <v>0</v>
      </c>
      <c r="AU79" s="83">
        <f>SUM(AL80:AL85)</f>
        <v>5737.6854400000002</v>
      </c>
    </row>
    <row r="80" spans="1:64">
      <c r="A80" s="47" t="s">
        <v>262</v>
      </c>
      <c r="B80" s="55" t="s">
        <v>59</v>
      </c>
      <c r="C80" s="55" t="s">
        <v>772</v>
      </c>
      <c r="D80" s="165" t="s">
        <v>1174</v>
      </c>
      <c r="E80" s="166"/>
      <c r="F80" s="166"/>
      <c r="G80" s="55" t="s">
        <v>1633</v>
      </c>
      <c r="H80" s="64">
        <v>23.6</v>
      </c>
      <c r="I80" s="64">
        <v>46</v>
      </c>
      <c r="J80" s="64">
        <f t="shared" ref="J80:J85" si="46">H80*AO80</f>
        <v>0</v>
      </c>
      <c r="K80" s="64">
        <f t="shared" ref="K80:K85" si="47">H80*AP80</f>
        <v>1085.6000000000001</v>
      </c>
      <c r="L80" s="64">
        <f t="shared" ref="L80:L85" si="48">H80*I80</f>
        <v>1085.6000000000001</v>
      </c>
      <c r="M80" s="73" t="s">
        <v>1657</v>
      </c>
      <c r="N80" s="19"/>
      <c r="Z80" s="35">
        <f t="shared" ref="Z80:Z85" si="49">IF(AQ80="5",BJ80,0)</f>
        <v>0</v>
      </c>
      <c r="AB80" s="35">
        <f t="shared" ref="AB80:AB85" si="50">IF(AQ80="1",BH80,0)</f>
        <v>0</v>
      </c>
      <c r="AC80" s="35">
        <f t="shared" ref="AC80:AC85" si="51">IF(AQ80="1",BI80,0)</f>
        <v>0</v>
      </c>
      <c r="AD80" s="35">
        <f t="shared" ref="AD80:AD85" si="52">IF(AQ80="7",BH80,0)</f>
        <v>0</v>
      </c>
      <c r="AE80" s="35">
        <f t="shared" ref="AE80:AE85" si="53">IF(AQ80="7",BI80,0)</f>
        <v>1085.6000000000001</v>
      </c>
      <c r="AF80" s="35">
        <f t="shared" ref="AF80:AF85" si="54">IF(AQ80="2",BH80,0)</f>
        <v>0</v>
      </c>
      <c r="AG80" s="35">
        <f t="shared" ref="AG80:AG85" si="55">IF(AQ80="2",BI80,0)</f>
        <v>0</v>
      </c>
      <c r="AH80" s="35">
        <f t="shared" ref="AH80:AH85" si="56">IF(AQ80="0",BJ80,0)</f>
        <v>0</v>
      </c>
      <c r="AI80" s="77" t="s">
        <v>59</v>
      </c>
      <c r="AJ80" s="64">
        <f t="shared" ref="AJ80:AJ85" si="57">IF(AN80=0,L80,0)</f>
        <v>0</v>
      </c>
      <c r="AK80" s="64">
        <f t="shared" ref="AK80:AK85" si="58">IF(AN80=15,L80,0)</f>
        <v>0</v>
      </c>
      <c r="AL80" s="64">
        <f t="shared" ref="AL80:AL85" si="59">IF(AN80=21,L80,0)</f>
        <v>1085.6000000000001</v>
      </c>
      <c r="AN80" s="35">
        <v>21</v>
      </c>
      <c r="AO80" s="35">
        <f>I80*0</f>
        <v>0</v>
      </c>
      <c r="AP80" s="35">
        <f>I80*(1-0)</f>
        <v>46</v>
      </c>
      <c r="AQ80" s="78" t="s">
        <v>235</v>
      </c>
      <c r="AV80" s="35">
        <f t="shared" ref="AV80:AV85" si="60">AW80+AX80</f>
        <v>1085.6000000000001</v>
      </c>
      <c r="AW80" s="35">
        <f t="shared" ref="AW80:AW85" si="61">H80*AO80</f>
        <v>0</v>
      </c>
      <c r="AX80" s="35">
        <f t="shared" ref="AX80:AX85" si="62">H80*AP80</f>
        <v>1085.6000000000001</v>
      </c>
      <c r="AY80" s="80" t="s">
        <v>1676</v>
      </c>
      <c r="AZ80" s="80" t="s">
        <v>1725</v>
      </c>
      <c r="BA80" s="77" t="s">
        <v>1772</v>
      </c>
      <c r="BC80" s="35">
        <f t="shared" ref="BC80:BC85" si="63">AW80+AX80</f>
        <v>1085.6000000000001</v>
      </c>
      <c r="BD80" s="35">
        <f t="shared" ref="BD80:BD85" si="64">I80/(100-BE80)*100</f>
        <v>46</v>
      </c>
      <c r="BE80" s="35">
        <v>0</v>
      </c>
      <c r="BF80" s="35">
        <f>80</f>
        <v>80</v>
      </c>
      <c r="BH80" s="64">
        <f t="shared" ref="BH80:BH85" si="65">H80*AO80</f>
        <v>0</v>
      </c>
      <c r="BI80" s="64">
        <f t="shared" ref="BI80:BI85" si="66">H80*AP80</f>
        <v>1085.6000000000001</v>
      </c>
      <c r="BJ80" s="64">
        <f t="shared" ref="BJ80:BJ85" si="67">H80*I80</f>
        <v>1085.6000000000001</v>
      </c>
      <c r="BK80" s="64" t="s">
        <v>1790</v>
      </c>
      <c r="BL80" s="35">
        <v>771</v>
      </c>
    </row>
    <row r="81" spans="1:64">
      <c r="A81" s="48" t="s">
        <v>263</v>
      </c>
      <c r="B81" s="56" t="s">
        <v>59</v>
      </c>
      <c r="C81" s="56" t="s">
        <v>773</v>
      </c>
      <c r="D81" s="170" t="s">
        <v>1175</v>
      </c>
      <c r="E81" s="171"/>
      <c r="F81" s="171"/>
      <c r="G81" s="56" t="s">
        <v>1631</v>
      </c>
      <c r="H81" s="65">
        <v>4.72</v>
      </c>
      <c r="I81" s="65">
        <v>123</v>
      </c>
      <c r="J81" s="65">
        <f t="shared" si="46"/>
        <v>580.55999999999995</v>
      </c>
      <c r="K81" s="65">
        <f t="shared" si="47"/>
        <v>0</v>
      </c>
      <c r="L81" s="65">
        <f t="shared" si="48"/>
        <v>580.55999999999995</v>
      </c>
      <c r="M81" s="74" t="s">
        <v>1657</v>
      </c>
      <c r="N81" s="19"/>
      <c r="Z81" s="35">
        <f t="shared" si="49"/>
        <v>0</v>
      </c>
      <c r="AB81" s="35">
        <f t="shared" si="50"/>
        <v>0</v>
      </c>
      <c r="AC81" s="35">
        <f t="shared" si="51"/>
        <v>0</v>
      </c>
      <c r="AD81" s="35">
        <f t="shared" si="52"/>
        <v>580.55999999999995</v>
      </c>
      <c r="AE81" s="35">
        <f t="shared" si="53"/>
        <v>0</v>
      </c>
      <c r="AF81" s="35">
        <f t="shared" si="54"/>
        <v>0</v>
      </c>
      <c r="AG81" s="35">
        <f t="shared" si="55"/>
        <v>0</v>
      </c>
      <c r="AH81" s="35">
        <f t="shared" si="56"/>
        <v>0</v>
      </c>
      <c r="AI81" s="77" t="s">
        <v>59</v>
      </c>
      <c r="AJ81" s="65">
        <f t="shared" si="57"/>
        <v>0</v>
      </c>
      <c r="AK81" s="65">
        <f t="shared" si="58"/>
        <v>0</v>
      </c>
      <c r="AL81" s="65">
        <f t="shared" si="59"/>
        <v>580.55999999999995</v>
      </c>
      <c r="AN81" s="35">
        <v>21</v>
      </c>
      <c r="AO81" s="35">
        <f>I81*1</f>
        <v>123</v>
      </c>
      <c r="AP81" s="35">
        <f>I81*(1-1)</f>
        <v>0</v>
      </c>
      <c r="AQ81" s="79" t="s">
        <v>235</v>
      </c>
      <c r="AV81" s="35">
        <f t="shared" si="60"/>
        <v>580.55999999999995</v>
      </c>
      <c r="AW81" s="35">
        <f t="shared" si="61"/>
        <v>580.55999999999995</v>
      </c>
      <c r="AX81" s="35">
        <f t="shared" si="62"/>
        <v>0</v>
      </c>
      <c r="AY81" s="80" t="s">
        <v>1676</v>
      </c>
      <c r="AZ81" s="80" t="s">
        <v>1725</v>
      </c>
      <c r="BA81" s="77" t="s">
        <v>1772</v>
      </c>
      <c r="BC81" s="35">
        <f t="shared" si="63"/>
        <v>580.55999999999995</v>
      </c>
      <c r="BD81" s="35">
        <f t="shared" si="64"/>
        <v>123</v>
      </c>
      <c r="BE81" s="35">
        <v>0</v>
      </c>
      <c r="BF81" s="35">
        <f>81</f>
        <v>81</v>
      </c>
      <c r="BH81" s="65">
        <f t="shared" si="65"/>
        <v>580.55999999999995</v>
      </c>
      <c r="BI81" s="65">
        <f t="shared" si="66"/>
        <v>0</v>
      </c>
      <c r="BJ81" s="65">
        <f t="shared" si="67"/>
        <v>580.55999999999995</v>
      </c>
      <c r="BK81" s="65" t="s">
        <v>1642</v>
      </c>
      <c r="BL81" s="35">
        <v>771</v>
      </c>
    </row>
    <row r="82" spans="1:64">
      <c r="A82" s="47" t="s">
        <v>264</v>
      </c>
      <c r="B82" s="55" t="s">
        <v>59</v>
      </c>
      <c r="C82" s="55" t="s">
        <v>774</v>
      </c>
      <c r="D82" s="165" t="s">
        <v>1176</v>
      </c>
      <c r="E82" s="166"/>
      <c r="F82" s="166"/>
      <c r="G82" s="55" t="s">
        <v>1633</v>
      </c>
      <c r="H82" s="64">
        <v>23.6</v>
      </c>
      <c r="I82" s="64">
        <v>91</v>
      </c>
      <c r="J82" s="64">
        <f t="shared" si="46"/>
        <v>0</v>
      </c>
      <c r="K82" s="64">
        <f t="shared" si="47"/>
        <v>2147.6</v>
      </c>
      <c r="L82" s="64">
        <f t="shared" si="48"/>
        <v>2147.6</v>
      </c>
      <c r="M82" s="73" t="s">
        <v>1657</v>
      </c>
      <c r="N82" s="19"/>
      <c r="Z82" s="35">
        <f t="shared" si="49"/>
        <v>0</v>
      </c>
      <c r="AB82" s="35">
        <f t="shared" si="50"/>
        <v>0</v>
      </c>
      <c r="AC82" s="35">
        <f t="shared" si="51"/>
        <v>0</v>
      </c>
      <c r="AD82" s="35">
        <f t="shared" si="52"/>
        <v>0</v>
      </c>
      <c r="AE82" s="35">
        <f t="shared" si="53"/>
        <v>2147.6</v>
      </c>
      <c r="AF82" s="35">
        <f t="shared" si="54"/>
        <v>0</v>
      </c>
      <c r="AG82" s="35">
        <f t="shared" si="55"/>
        <v>0</v>
      </c>
      <c r="AH82" s="35">
        <f t="shared" si="56"/>
        <v>0</v>
      </c>
      <c r="AI82" s="77" t="s">
        <v>59</v>
      </c>
      <c r="AJ82" s="64">
        <f t="shared" si="57"/>
        <v>0</v>
      </c>
      <c r="AK82" s="64">
        <f t="shared" si="58"/>
        <v>0</v>
      </c>
      <c r="AL82" s="64">
        <f t="shared" si="59"/>
        <v>2147.6</v>
      </c>
      <c r="AN82" s="35">
        <v>21</v>
      </c>
      <c r="AO82" s="35">
        <f>I82*0</f>
        <v>0</v>
      </c>
      <c r="AP82" s="35">
        <f>I82*(1-0)</f>
        <v>91</v>
      </c>
      <c r="AQ82" s="78" t="s">
        <v>235</v>
      </c>
      <c r="AV82" s="35">
        <f t="shared" si="60"/>
        <v>2147.6</v>
      </c>
      <c r="AW82" s="35">
        <f t="shared" si="61"/>
        <v>0</v>
      </c>
      <c r="AX82" s="35">
        <f t="shared" si="62"/>
        <v>2147.6</v>
      </c>
      <c r="AY82" s="80" t="s">
        <v>1676</v>
      </c>
      <c r="AZ82" s="80" t="s">
        <v>1725</v>
      </c>
      <c r="BA82" s="77" t="s">
        <v>1772</v>
      </c>
      <c r="BC82" s="35">
        <f t="shared" si="63"/>
        <v>2147.6</v>
      </c>
      <c r="BD82" s="35">
        <f t="shared" si="64"/>
        <v>91</v>
      </c>
      <c r="BE82" s="35">
        <v>0</v>
      </c>
      <c r="BF82" s="35">
        <f>82</f>
        <v>82</v>
      </c>
      <c r="BH82" s="64">
        <f t="shared" si="65"/>
        <v>0</v>
      </c>
      <c r="BI82" s="64">
        <f t="shared" si="66"/>
        <v>2147.6</v>
      </c>
      <c r="BJ82" s="64">
        <f t="shared" si="67"/>
        <v>2147.6</v>
      </c>
      <c r="BK82" s="64" t="s">
        <v>1790</v>
      </c>
      <c r="BL82" s="35">
        <v>771</v>
      </c>
    </row>
    <row r="83" spans="1:64">
      <c r="A83" s="48" t="s">
        <v>265</v>
      </c>
      <c r="B83" s="56" t="s">
        <v>59</v>
      </c>
      <c r="C83" s="56" t="s">
        <v>775</v>
      </c>
      <c r="D83" s="170" t="s">
        <v>1177</v>
      </c>
      <c r="E83" s="171"/>
      <c r="F83" s="171"/>
      <c r="G83" s="56" t="s">
        <v>1632</v>
      </c>
      <c r="H83" s="65">
        <v>2.5960000000000001</v>
      </c>
      <c r="I83" s="65">
        <v>325</v>
      </c>
      <c r="J83" s="65">
        <f t="shared" si="46"/>
        <v>843.7</v>
      </c>
      <c r="K83" s="65">
        <f t="shared" si="47"/>
        <v>0</v>
      </c>
      <c r="L83" s="65">
        <f t="shared" si="48"/>
        <v>843.7</v>
      </c>
      <c r="M83" s="74" t="s">
        <v>1657</v>
      </c>
      <c r="N83" s="19"/>
      <c r="Z83" s="35">
        <f t="shared" si="49"/>
        <v>0</v>
      </c>
      <c r="AB83" s="35">
        <f t="shared" si="50"/>
        <v>0</v>
      </c>
      <c r="AC83" s="35">
        <f t="shared" si="51"/>
        <v>0</v>
      </c>
      <c r="AD83" s="35">
        <f t="shared" si="52"/>
        <v>843.7</v>
      </c>
      <c r="AE83" s="35">
        <f t="shared" si="53"/>
        <v>0</v>
      </c>
      <c r="AF83" s="35">
        <f t="shared" si="54"/>
        <v>0</v>
      </c>
      <c r="AG83" s="35">
        <f t="shared" si="55"/>
        <v>0</v>
      </c>
      <c r="AH83" s="35">
        <f t="shared" si="56"/>
        <v>0</v>
      </c>
      <c r="AI83" s="77" t="s">
        <v>59</v>
      </c>
      <c r="AJ83" s="65">
        <f t="shared" si="57"/>
        <v>0</v>
      </c>
      <c r="AK83" s="65">
        <f t="shared" si="58"/>
        <v>0</v>
      </c>
      <c r="AL83" s="65">
        <f t="shared" si="59"/>
        <v>843.7</v>
      </c>
      <c r="AN83" s="35">
        <v>21</v>
      </c>
      <c r="AO83" s="35">
        <f>I83*1</f>
        <v>325</v>
      </c>
      <c r="AP83" s="35">
        <f>I83*(1-1)</f>
        <v>0</v>
      </c>
      <c r="AQ83" s="79" t="s">
        <v>235</v>
      </c>
      <c r="AV83" s="35">
        <f t="shared" si="60"/>
        <v>843.7</v>
      </c>
      <c r="AW83" s="35">
        <f t="shared" si="61"/>
        <v>843.7</v>
      </c>
      <c r="AX83" s="35">
        <f t="shared" si="62"/>
        <v>0</v>
      </c>
      <c r="AY83" s="80" t="s">
        <v>1676</v>
      </c>
      <c r="AZ83" s="80" t="s">
        <v>1725</v>
      </c>
      <c r="BA83" s="77" t="s">
        <v>1772</v>
      </c>
      <c r="BC83" s="35">
        <f t="shared" si="63"/>
        <v>843.7</v>
      </c>
      <c r="BD83" s="35">
        <f t="shared" si="64"/>
        <v>325</v>
      </c>
      <c r="BE83" s="35">
        <v>0</v>
      </c>
      <c r="BF83" s="35">
        <f>83</f>
        <v>83</v>
      </c>
      <c r="BH83" s="65">
        <f t="shared" si="65"/>
        <v>843.7</v>
      </c>
      <c r="BI83" s="65">
        <f t="shared" si="66"/>
        <v>0</v>
      </c>
      <c r="BJ83" s="65">
        <f t="shared" si="67"/>
        <v>843.7</v>
      </c>
      <c r="BK83" s="65" t="s">
        <v>1642</v>
      </c>
      <c r="BL83" s="35">
        <v>771</v>
      </c>
    </row>
    <row r="84" spans="1:64">
      <c r="A84" s="47" t="s">
        <v>266</v>
      </c>
      <c r="B84" s="55" t="s">
        <v>59</v>
      </c>
      <c r="C84" s="55" t="s">
        <v>776</v>
      </c>
      <c r="D84" s="165" t="s">
        <v>1178</v>
      </c>
      <c r="E84" s="166"/>
      <c r="F84" s="166"/>
      <c r="G84" s="55" t="s">
        <v>1633</v>
      </c>
      <c r="H84" s="64">
        <v>15.73334</v>
      </c>
      <c r="I84" s="64">
        <v>67</v>
      </c>
      <c r="J84" s="64">
        <f t="shared" si="46"/>
        <v>0</v>
      </c>
      <c r="K84" s="64">
        <f t="shared" si="47"/>
        <v>1054.1337800000001</v>
      </c>
      <c r="L84" s="64">
        <f t="shared" si="48"/>
        <v>1054.1337800000001</v>
      </c>
      <c r="M84" s="73" t="s">
        <v>1657</v>
      </c>
      <c r="N84" s="19"/>
      <c r="Z84" s="35">
        <f t="shared" si="49"/>
        <v>0</v>
      </c>
      <c r="AB84" s="35">
        <f t="shared" si="50"/>
        <v>0</v>
      </c>
      <c r="AC84" s="35">
        <f t="shared" si="51"/>
        <v>0</v>
      </c>
      <c r="AD84" s="35">
        <f t="shared" si="52"/>
        <v>0</v>
      </c>
      <c r="AE84" s="35">
        <f t="shared" si="53"/>
        <v>1054.1337800000001</v>
      </c>
      <c r="AF84" s="35">
        <f t="shared" si="54"/>
        <v>0</v>
      </c>
      <c r="AG84" s="35">
        <f t="shared" si="55"/>
        <v>0</v>
      </c>
      <c r="AH84" s="35">
        <f t="shared" si="56"/>
        <v>0</v>
      </c>
      <c r="AI84" s="77" t="s">
        <v>59</v>
      </c>
      <c r="AJ84" s="64">
        <f t="shared" si="57"/>
        <v>0</v>
      </c>
      <c r="AK84" s="64">
        <f t="shared" si="58"/>
        <v>0</v>
      </c>
      <c r="AL84" s="64">
        <f t="shared" si="59"/>
        <v>1054.1337800000001</v>
      </c>
      <c r="AN84" s="35">
        <v>21</v>
      </c>
      <c r="AO84" s="35">
        <f>I84*0</f>
        <v>0</v>
      </c>
      <c r="AP84" s="35">
        <f>I84*(1-0)</f>
        <v>67</v>
      </c>
      <c r="AQ84" s="78" t="s">
        <v>235</v>
      </c>
      <c r="AV84" s="35">
        <f t="shared" si="60"/>
        <v>1054.1337800000001</v>
      </c>
      <c r="AW84" s="35">
        <f t="shared" si="61"/>
        <v>0</v>
      </c>
      <c r="AX84" s="35">
        <f t="shared" si="62"/>
        <v>1054.1337800000001</v>
      </c>
      <c r="AY84" s="80" t="s">
        <v>1676</v>
      </c>
      <c r="AZ84" s="80" t="s">
        <v>1725</v>
      </c>
      <c r="BA84" s="77" t="s">
        <v>1772</v>
      </c>
      <c r="BC84" s="35">
        <f t="shared" si="63"/>
        <v>1054.1337800000001</v>
      </c>
      <c r="BD84" s="35">
        <f t="shared" si="64"/>
        <v>67</v>
      </c>
      <c r="BE84" s="35">
        <v>0</v>
      </c>
      <c r="BF84" s="35">
        <f>84</f>
        <v>84</v>
      </c>
      <c r="BH84" s="64">
        <f t="shared" si="65"/>
        <v>0</v>
      </c>
      <c r="BI84" s="64">
        <f t="shared" si="66"/>
        <v>1054.1337800000001</v>
      </c>
      <c r="BJ84" s="64">
        <f t="shared" si="67"/>
        <v>1054.1337800000001</v>
      </c>
      <c r="BK84" s="64" t="s">
        <v>1790</v>
      </c>
      <c r="BL84" s="35">
        <v>771</v>
      </c>
    </row>
    <row r="85" spans="1:64">
      <c r="A85" s="47" t="s">
        <v>267</v>
      </c>
      <c r="B85" s="55" t="s">
        <v>59</v>
      </c>
      <c r="C85" s="55" t="s">
        <v>777</v>
      </c>
      <c r="D85" s="165" t="s">
        <v>1179</v>
      </c>
      <c r="E85" s="166"/>
      <c r="F85" s="166"/>
      <c r="G85" s="55" t="s">
        <v>1634</v>
      </c>
      <c r="H85" s="64">
        <v>5.9569999999999998E-2</v>
      </c>
      <c r="I85" s="64">
        <v>438</v>
      </c>
      <c r="J85" s="64">
        <f t="shared" si="46"/>
        <v>0</v>
      </c>
      <c r="K85" s="64">
        <f t="shared" si="47"/>
        <v>26.091659999999997</v>
      </c>
      <c r="L85" s="64">
        <f t="shared" si="48"/>
        <v>26.091659999999997</v>
      </c>
      <c r="M85" s="73" t="s">
        <v>1657</v>
      </c>
      <c r="N85" s="19"/>
      <c r="Z85" s="35">
        <f t="shared" si="49"/>
        <v>26.091659999999997</v>
      </c>
      <c r="AB85" s="35">
        <f t="shared" si="50"/>
        <v>0</v>
      </c>
      <c r="AC85" s="35">
        <f t="shared" si="51"/>
        <v>0</v>
      </c>
      <c r="AD85" s="35">
        <f t="shared" si="52"/>
        <v>0</v>
      </c>
      <c r="AE85" s="35">
        <f t="shared" si="53"/>
        <v>0</v>
      </c>
      <c r="AF85" s="35">
        <f t="shared" si="54"/>
        <v>0</v>
      </c>
      <c r="AG85" s="35">
        <f t="shared" si="55"/>
        <v>0</v>
      </c>
      <c r="AH85" s="35">
        <f t="shared" si="56"/>
        <v>0</v>
      </c>
      <c r="AI85" s="77" t="s">
        <v>59</v>
      </c>
      <c r="AJ85" s="64">
        <f t="shared" si="57"/>
        <v>0</v>
      </c>
      <c r="AK85" s="64">
        <f t="shared" si="58"/>
        <v>0</v>
      </c>
      <c r="AL85" s="64">
        <f t="shared" si="59"/>
        <v>26.091659999999997</v>
      </c>
      <c r="AN85" s="35">
        <v>21</v>
      </c>
      <c r="AO85" s="35">
        <f>I85*0</f>
        <v>0</v>
      </c>
      <c r="AP85" s="35">
        <f>I85*(1-0)</f>
        <v>438</v>
      </c>
      <c r="AQ85" s="78" t="s">
        <v>112</v>
      </c>
      <c r="AV85" s="35">
        <f t="shared" si="60"/>
        <v>26.091659999999997</v>
      </c>
      <c r="AW85" s="35">
        <f t="shared" si="61"/>
        <v>0</v>
      </c>
      <c r="AX85" s="35">
        <f t="shared" si="62"/>
        <v>26.091659999999997</v>
      </c>
      <c r="AY85" s="80" t="s">
        <v>1676</v>
      </c>
      <c r="AZ85" s="80" t="s">
        <v>1725</v>
      </c>
      <c r="BA85" s="77" t="s">
        <v>1772</v>
      </c>
      <c r="BC85" s="35">
        <f t="shared" si="63"/>
        <v>26.091659999999997</v>
      </c>
      <c r="BD85" s="35">
        <f t="shared" si="64"/>
        <v>438</v>
      </c>
      <c r="BE85" s="35">
        <v>0</v>
      </c>
      <c r="BF85" s="35">
        <f>85</f>
        <v>85</v>
      </c>
      <c r="BH85" s="64">
        <f t="shared" si="65"/>
        <v>0</v>
      </c>
      <c r="BI85" s="64">
        <f t="shared" si="66"/>
        <v>26.091659999999997</v>
      </c>
      <c r="BJ85" s="64">
        <f t="shared" si="67"/>
        <v>26.091659999999997</v>
      </c>
      <c r="BK85" s="64" t="s">
        <v>1790</v>
      </c>
      <c r="BL85" s="35">
        <v>771</v>
      </c>
    </row>
    <row r="86" spans="1:64">
      <c r="A86" s="46"/>
      <c r="B86" s="54" t="s">
        <v>59</v>
      </c>
      <c r="C86" s="54" t="s">
        <v>138</v>
      </c>
      <c r="D86" s="163" t="s">
        <v>189</v>
      </c>
      <c r="E86" s="164"/>
      <c r="F86" s="164"/>
      <c r="G86" s="61" t="s">
        <v>57</v>
      </c>
      <c r="H86" s="61" t="s">
        <v>57</v>
      </c>
      <c r="I86" s="61" t="s">
        <v>57</v>
      </c>
      <c r="J86" s="83">
        <f>SUM(J87:J87)</f>
        <v>0</v>
      </c>
      <c r="K86" s="83">
        <f>SUM(K87:K87)</f>
        <v>1095.92</v>
      </c>
      <c r="L86" s="83">
        <f>SUM(L87:L87)</f>
        <v>1095.92</v>
      </c>
      <c r="M86" s="72"/>
      <c r="N86" s="19"/>
      <c r="AI86" s="77" t="s">
        <v>59</v>
      </c>
      <c r="AS86" s="83">
        <f>SUM(AJ87:AJ87)</f>
        <v>0</v>
      </c>
      <c r="AT86" s="83">
        <f>SUM(AK87:AK87)</f>
        <v>0</v>
      </c>
      <c r="AU86" s="83">
        <f>SUM(AL87:AL87)</f>
        <v>1095.92</v>
      </c>
    </row>
    <row r="87" spans="1:64">
      <c r="A87" s="47" t="s">
        <v>268</v>
      </c>
      <c r="B87" s="55" t="s">
        <v>59</v>
      </c>
      <c r="C87" s="55" t="s">
        <v>778</v>
      </c>
      <c r="D87" s="165" t="s">
        <v>1180</v>
      </c>
      <c r="E87" s="166"/>
      <c r="F87" s="166"/>
      <c r="G87" s="55" t="s">
        <v>1632</v>
      </c>
      <c r="H87" s="64">
        <v>39.14</v>
      </c>
      <c r="I87" s="64">
        <v>28</v>
      </c>
      <c r="J87" s="64">
        <f>H87*AO87</f>
        <v>0</v>
      </c>
      <c r="K87" s="64">
        <f>H87*AP87</f>
        <v>1095.92</v>
      </c>
      <c r="L87" s="64">
        <f>H87*I87</f>
        <v>1095.92</v>
      </c>
      <c r="M87" s="73" t="s">
        <v>1657</v>
      </c>
      <c r="N87" s="19"/>
      <c r="Z87" s="35">
        <f>IF(AQ87="5",BJ87,0)</f>
        <v>0</v>
      </c>
      <c r="AB87" s="35">
        <f>IF(AQ87="1",BH87,0)</f>
        <v>0</v>
      </c>
      <c r="AC87" s="35">
        <f>IF(AQ87="1",BI87,0)</f>
        <v>0</v>
      </c>
      <c r="AD87" s="35">
        <f>IF(AQ87="7",BH87,0)</f>
        <v>0</v>
      </c>
      <c r="AE87" s="35">
        <f>IF(AQ87="7",BI87,0)</f>
        <v>1095.92</v>
      </c>
      <c r="AF87" s="35">
        <f>IF(AQ87="2",BH87,0)</f>
        <v>0</v>
      </c>
      <c r="AG87" s="35">
        <f>IF(AQ87="2",BI87,0)</f>
        <v>0</v>
      </c>
      <c r="AH87" s="35">
        <f>IF(AQ87="0",BJ87,0)</f>
        <v>0</v>
      </c>
      <c r="AI87" s="77" t="s">
        <v>59</v>
      </c>
      <c r="AJ87" s="64">
        <f>IF(AN87=0,L87,0)</f>
        <v>0</v>
      </c>
      <c r="AK87" s="64">
        <f>IF(AN87=15,L87,0)</f>
        <v>0</v>
      </c>
      <c r="AL87" s="64">
        <f>IF(AN87=21,L87,0)</f>
        <v>1095.92</v>
      </c>
      <c r="AN87" s="35">
        <v>21</v>
      </c>
      <c r="AO87" s="35">
        <f>I87*0</f>
        <v>0</v>
      </c>
      <c r="AP87" s="35">
        <f>I87*(1-0)</f>
        <v>28</v>
      </c>
      <c r="AQ87" s="78" t="s">
        <v>235</v>
      </c>
      <c r="AV87" s="35">
        <f>AW87+AX87</f>
        <v>1095.92</v>
      </c>
      <c r="AW87" s="35">
        <f>H87*AO87</f>
        <v>0</v>
      </c>
      <c r="AX87" s="35">
        <f>H87*AP87</f>
        <v>1095.92</v>
      </c>
      <c r="AY87" s="80" t="s">
        <v>1677</v>
      </c>
      <c r="AZ87" s="80" t="s">
        <v>1726</v>
      </c>
      <c r="BA87" s="77" t="s">
        <v>1772</v>
      </c>
      <c r="BC87" s="35">
        <f>AW87+AX87</f>
        <v>1095.92</v>
      </c>
      <c r="BD87" s="35">
        <f>I87/(100-BE87)*100</f>
        <v>28.000000000000004</v>
      </c>
      <c r="BE87" s="35">
        <v>0</v>
      </c>
      <c r="BF87" s="35">
        <f>87</f>
        <v>87</v>
      </c>
      <c r="BH87" s="64">
        <f>H87*AO87</f>
        <v>0</v>
      </c>
      <c r="BI87" s="64">
        <f>H87*AP87</f>
        <v>1095.92</v>
      </c>
      <c r="BJ87" s="64">
        <f>H87*I87</f>
        <v>1095.92</v>
      </c>
      <c r="BK87" s="64" t="s">
        <v>1790</v>
      </c>
      <c r="BL87" s="35">
        <v>783</v>
      </c>
    </row>
    <row r="88" spans="1:64">
      <c r="A88" s="46"/>
      <c r="B88" s="54" t="s">
        <v>59</v>
      </c>
      <c r="C88" s="54" t="s">
        <v>139</v>
      </c>
      <c r="D88" s="163" t="s">
        <v>190</v>
      </c>
      <c r="E88" s="164"/>
      <c r="F88" s="164"/>
      <c r="G88" s="61" t="s">
        <v>57</v>
      </c>
      <c r="H88" s="61" t="s">
        <v>57</v>
      </c>
      <c r="I88" s="61" t="s">
        <v>57</v>
      </c>
      <c r="J88" s="83">
        <f>SUM(J89:J99)</f>
        <v>42922</v>
      </c>
      <c r="K88" s="83">
        <f>SUM(K89:K99)</f>
        <v>175276.93</v>
      </c>
      <c r="L88" s="83">
        <f>SUM(L89:L99)</f>
        <v>218198.93</v>
      </c>
      <c r="M88" s="72"/>
      <c r="N88" s="19"/>
      <c r="AI88" s="77" t="s">
        <v>59</v>
      </c>
      <c r="AS88" s="83">
        <f>SUM(AJ89:AJ99)</f>
        <v>0</v>
      </c>
      <c r="AT88" s="83">
        <f>SUM(AK89:AK99)</f>
        <v>0</v>
      </c>
      <c r="AU88" s="83">
        <f>SUM(AL89:AL99)</f>
        <v>218198.93</v>
      </c>
    </row>
    <row r="89" spans="1:64">
      <c r="A89" s="47" t="s">
        <v>269</v>
      </c>
      <c r="B89" s="55" t="s">
        <v>59</v>
      </c>
      <c r="C89" s="55" t="s">
        <v>779</v>
      </c>
      <c r="D89" s="165" t="s">
        <v>1181</v>
      </c>
      <c r="E89" s="166"/>
      <c r="F89" s="166"/>
      <c r="G89" s="55" t="s">
        <v>1636</v>
      </c>
      <c r="H89" s="64">
        <v>12</v>
      </c>
      <c r="I89" s="64">
        <v>8964</v>
      </c>
      <c r="J89" s="64">
        <f t="shared" ref="J89:J99" si="68">H89*AO89</f>
        <v>0</v>
      </c>
      <c r="K89" s="64">
        <f t="shared" ref="K89:K99" si="69">H89*AP89</f>
        <v>107568</v>
      </c>
      <c r="L89" s="64">
        <f t="shared" ref="L89:L99" si="70">H89*I89</f>
        <v>107568</v>
      </c>
      <c r="M89" s="73" t="s">
        <v>1658</v>
      </c>
      <c r="N89" s="19"/>
      <c r="Z89" s="35">
        <f t="shared" ref="Z89:Z99" si="71">IF(AQ89="5",BJ89,0)</f>
        <v>0</v>
      </c>
      <c r="AB89" s="35">
        <f t="shared" ref="AB89:AB99" si="72">IF(AQ89="1",BH89,0)</f>
        <v>0</v>
      </c>
      <c r="AC89" s="35">
        <f t="shared" ref="AC89:AC99" si="73">IF(AQ89="1",BI89,0)</f>
        <v>0</v>
      </c>
      <c r="AD89" s="35">
        <f t="shared" ref="AD89:AD99" si="74">IF(AQ89="7",BH89,0)</f>
        <v>0</v>
      </c>
      <c r="AE89" s="35">
        <f t="shared" ref="AE89:AE99" si="75">IF(AQ89="7",BI89,0)</f>
        <v>107568</v>
      </c>
      <c r="AF89" s="35">
        <f t="shared" ref="AF89:AF99" si="76">IF(AQ89="2",BH89,0)</f>
        <v>0</v>
      </c>
      <c r="AG89" s="35">
        <f t="shared" ref="AG89:AG99" si="77">IF(AQ89="2",BI89,0)</f>
        <v>0</v>
      </c>
      <c r="AH89" s="35">
        <f t="shared" ref="AH89:AH99" si="78">IF(AQ89="0",BJ89,0)</f>
        <v>0</v>
      </c>
      <c r="AI89" s="77" t="s">
        <v>59</v>
      </c>
      <c r="AJ89" s="64">
        <f t="shared" ref="AJ89:AJ99" si="79">IF(AN89=0,L89,0)</f>
        <v>0</v>
      </c>
      <c r="AK89" s="64">
        <f t="shared" ref="AK89:AK99" si="80">IF(AN89=15,L89,0)</f>
        <v>0</v>
      </c>
      <c r="AL89" s="64">
        <f t="shared" ref="AL89:AL99" si="81">IF(AN89=21,L89,0)</f>
        <v>107568</v>
      </c>
      <c r="AN89" s="35">
        <v>21</v>
      </c>
      <c r="AO89" s="35">
        <f>I89*0</f>
        <v>0</v>
      </c>
      <c r="AP89" s="35">
        <f>I89*(1-0)</f>
        <v>8964</v>
      </c>
      <c r="AQ89" s="78" t="s">
        <v>235</v>
      </c>
      <c r="AV89" s="35">
        <f t="shared" ref="AV89:AV99" si="82">AW89+AX89</f>
        <v>107568</v>
      </c>
      <c r="AW89" s="35">
        <f t="shared" ref="AW89:AW99" si="83">H89*AO89</f>
        <v>0</v>
      </c>
      <c r="AX89" s="35">
        <f t="shared" ref="AX89:AX99" si="84">H89*AP89</f>
        <v>107568</v>
      </c>
      <c r="AY89" s="80" t="s">
        <v>1678</v>
      </c>
      <c r="AZ89" s="80" t="s">
        <v>1726</v>
      </c>
      <c r="BA89" s="77" t="s">
        <v>1772</v>
      </c>
      <c r="BC89" s="35">
        <f t="shared" ref="BC89:BC99" si="85">AW89+AX89</f>
        <v>107568</v>
      </c>
      <c r="BD89" s="35">
        <f t="shared" ref="BD89:BD99" si="86">I89/(100-BE89)*100</f>
        <v>8964</v>
      </c>
      <c r="BE89" s="35">
        <v>0</v>
      </c>
      <c r="BF89" s="35">
        <f>89</f>
        <v>89</v>
      </c>
      <c r="BH89" s="64">
        <f t="shared" ref="BH89:BH99" si="87">H89*AO89</f>
        <v>0</v>
      </c>
      <c r="BI89" s="64">
        <f t="shared" ref="BI89:BI99" si="88">H89*AP89</f>
        <v>107568</v>
      </c>
      <c r="BJ89" s="64">
        <f t="shared" ref="BJ89:BJ99" si="89">H89*I89</f>
        <v>107568</v>
      </c>
      <c r="BK89" s="64" t="s">
        <v>1790</v>
      </c>
      <c r="BL89" s="35" t="s">
        <v>139</v>
      </c>
    </row>
    <row r="90" spans="1:64">
      <c r="A90" s="48" t="s">
        <v>270</v>
      </c>
      <c r="B90" s="56" t="s">
        <v>59</v>
      </c>
      <c r="C90" s="56" t="s">
        <v>780</v>
      </c>
      <c r="D90" s="170" t="s">
        <v>1182</v>
      </c>
      <c r="E90" s="171"/>
      <c r="F90" s="171"/>
      <c r="G90" s="56" t="s">
        <v>1636</v>
      </c>
      <c r="H90" s="65">
        <v>12</v>
      </c>
      <c r="I90" s="65">
        <v>1951</v>
      </c>
      <c r="J90" s="65">
        <f t="shared" si="68"/>
        <v>23412</v>
      </c>
      <c r="K90" s="65">
        <f t="shared" si="69"/>
        <v>0</v>
      </c>
      <c r="L90" s="65">
        <f t="shared" si="70"/>
        <v>23412</v>
      </c>
      <c r="M90" s="74" t="s">
        <v>1658</v>
      </c>
      <c r="N90" s="19"/>
      <c r="Z90" s="35">
        <f t="shared" si="71"/>
        <v>0</v>
      </c>
      <c r="AB90" s="35">
        <f t="shared" si="72"/>
        <v>0</v>
      </c>
      <c r="AC90" s="35">
        <f t="shared" si="73"/>
        <v>0</v>
      </c>
      <c r="AD90" s="35">
        <f t="shared" si="74"/>
        <v>23412</v>
      </c>
      <c r="AE90" s="35">
        <f t="shared" si="75"/>
        <v>0</v>
      </c>
      <c r="AF90" s="35">
        <f t="shared" si="76"/>
        <v>0</v>
      </c>
      <c r="AG90" s="35">
        <f t="shared" si="77"/>
        <v>0</v>
      </c>
      <c r="AH90" s="35">
        <f t="shared" si="78"/>
        <v>0</v>
      </c>
      <c r="AI90" s="77" t="s">
        <v>59</v>
      </c>
      <c r="AJ90" s="65">
        <f t="shared" si="79"/>
        <v>0</v>
      </c>
      <c r="AK90" s="65">
        <f t="shared" si="80"/>
        <v>0</v>
      </c>
      <c r="AL90" s="65">
        <f t="shared" si="81"/>
        <v>23412</v>
      </c>
      <c r="AN90" s="35">
        <v>21</v>
      </c>
      <c r="AO90" s="35">
        <f>I90*1</f>
        <v>1951</v>
      </c>
      <c r="AP90" s="35">
        <f>I90*(1-1)</f>
        <v>0</v>
      </c>
      <c r="AQ90" s="79" t="s">
        <v>235</v>
      </c>
      <c r="AV90" s="35">
        <f t="shared" si="82"/>
        <v>23412</v>
      </c>
      <c r="AW90" s="35">
        <f t="shared" si="83"/>
        <v>23412</v>
      </c>
      <c r="AX90" s="35">
        <f t="shared" si="84"/>
        <v>0</v>
      </c>
      <c r="AY90" s="80" t="s">
        <v>1678</v>
      </c>
      <c r="AZ90" s="80" t="s">
        <v>1726</v>
      </c>
      <c r="BA90" s="77" t="s">
        <v>1772</v>
      </c>
      <c r="BC90" s="35">
        <f t="shared" si="85"/>
        <v>23412</v>
      </c>
      <c r="BD90" s="35">
        <f t="shared" si="86"/>
        <v>1951.0000000000002</v>
      </c>
      <c r="BE90" s="35">
        <v>0</v>
      </c>
      <c r="BF90" s="35">
        <f>90</f>
        <v>90</v>
      </c>
      <c r="BH90" s="65">
        <f t="shared" si="87"/>
        <v>23412</v>
      </c>
      <c r="BI90" s="65">
        <f t="shared" si="88"/>
        <v>0</v>
      </c>
      <c r="BJ90" s="65">
        <f t="shared" si="89"/>
        <v>23412</v>
      </c>
      <c r="BK90" s="65" t="s">
        <v>1642</v>
      </c>
      <c r="BL90" s="35" t="s">
        <v>139</v>
      </c>
    </row>
    <row r="91" spans="1:64">
      <c r="A91" s="47" t="s">
        <v>174</v>
      </c>
      <c r="B91" s="55" t="s">
        <v>59</v>
      </c>
      <c r="C91" s="55" t="s">
        <v>781</v>
      </c>
      <c r="D91" s="165" t="s">
        <v>1183</v>
      </c>
      <c r="E91" s="166"/>
      <c r="F91" s="166"/>
      <c r="G91" s="55" t="s">
        <v>1636</v>
      </c>
      <c r="H91" s="64">
        <v>4</v>
      </c>
      <c r="I91" s="64">
        <v>6502</v>
      </c>
      <c r="J91" s="64">
        <f t="shared" si="68"/>
        <v>0</v>
      </c>
      <c r="K91" s="64">
        <f t="shared" si="69"/>
        <v>26008</v>
      </c>
      <c r="L91" s="64">
        <f t="shared" si="70"/>
        <v>26008</v>
      </c>
      <c r="M91" s="73" t="s">
        <v>1658</v>
      </c>
      <c r="N91" s="19"/>
      <c r="Z91" s="35">
        <f t="shared" si="71"/>
        <v>0</v>
      </c>
      <c r="AB91" s="35">
        <f t="shared" si="72"/>
        <v>0</v>
      </c>
      <c r="AC91" s="35">
        <f t="shared" si="73"/>
        <v>0</v>
      </c>
      <c r="AD91" s="35">
        <f t="shared" si="74"/>
        <v>0</v>
      </c>
      <c r="AE91" s="35">
        <f t="shared" si="75"/>
        <v>26008</v>
      </c>
      <c r="AF91" s="35">
        <f t="shared" si="76"/>
        <v>0</v>
      </c>
      <c r="AG91" s="35">
        <f t="shared" si="77"/>
        <v>0</v>
      </c>
      <c r="AH91" s="35">
        <f t="shared" si="78"/>
        <v>0</v>
      </c>
      <c r="AI91" s="77" t="s">
        <v>59</v>
      </c>
      <c r="AJ91" s="64">
        <f t="shared" si="79"/>
        <v>0</v>
      </c>
      <c r="AK91" s="64">
        <f t="shared" si="80"/>
        <v>0</v>
      </c>
      <c r="AL91" s="64">
        <f t="shared" si="81"/>
        <v>26008</v>
      </c>
      <c r="AN91" s="35">
        <v>21</v>
      </c>
      <c r="AO91" s="35">
        <f>I91*0</f>
        <v>0</v>
      </c>
      <c r="AP91" s="35">
        <f>I91*(1-0)</f>
        <v>6502</v>
      </c>
      <c r="AQ91" s="78" t="s">
        <v>235</v>
      </c>
      <c r="AV91" s="35">
        <f t="shared" si="82"/>
        <v>26008</v>
      </c>
      <c r="AW91" s="35">
        <f t="shared" si="83"/>
        <v>0</v>
      </c>
      <c r="AX91" s="35">
        <f t="shared" si="84"/>
        <v>26008</v>
      </c>
      <c r="AY91" s="80" t="s">
        <v>1678</v>
      </c>
      <c r="AZ91" s="80" t="s">
        <v>1726</v>
      </c>
      <c r="BA91" s="77" t="s">
        <v>1772</v>
      </c>
      <c r="BC91" s="35">
        <f t="shared" si="85"/>
        <v>26008</v>
      </c>
      <c r="BD91" s="35">
        <f t="shared" si="86"/>
        <v>6502</v>
      </c>
      <c r="BE91" s="35">
        <v>0</v>
      </c>
      <c r="BF91" s="35">
        <f>91</f>
        <v>91</v>
      </c>
      <c r="BH91" s="64">
        <f t="shared" si="87"/>
        <v>0</v>
      </c>
      <c r="BI91" s="64">
        <f t="shared" si="88"/>
        <v>26008</v>
      </c>
      <c r="BJ91" s="64">
        <f t="shared" si="89"/>
        <v>26008</v>
      </c>
      <c r="BK91" s="64" t="s">
        <v>1790</v>
      </c>
      <c r="BL91" s="35" t="s">
        <v>139</v>
      </c>
    </row>
    <row r="92" spans="1:64">
      <c r="A92" s="48" t="s">
        <v>175</v>
      </c>
      <c r="B92" s="56" t="s">
        <v>59</v>
      </c>
      <c r="C92" s="56" t="s">
        <v>780</v>
      </c>
      <c r="D92" s="170" t="s">
        <v>1182</v>
      </c>
      <c r="E92" s="171"/>
      <c r="F92" s="171"/>
      <c r="G92" s="56" t="s">
        <v>1636</v>
      </c>
      <c r="H92" s="65">
        <v>4</v>
      </c>
      <c r="I92" s="65">
        <v>1951</v>
      </c>
      <c r="J92" s="65">
        <f t="shared" si="68"/>
        <v>7804</v>
      </c>
      <c r="K92" s="65">
        <f t="shared" si="69"/>
        <v>0</v>
      </c>
      <c r="L92" s="65">
        <f t="shared" si="70"/>
        <v>7804</v>
      </c>
      <c r="M92" s="74" t="s">
        <v>1658</v>
      </c>
      <c r="N92" s="19"/>
      <c r="Z92" s="35">
        <f t="shared" si="71"/>
        <v>0</v>
      </c>
      <c r="AB92" s="35">
        <f t="shared" si="72"/>
        <v>0</v>
      </c>
      <c r="AC92" s="35">
        <f t="shared" si="73"/>
        <v>0</v>
      </c>
      <c r="AD92" s="35">
        <f t="shared" si="74"/>
        <v>7804</v>
      </c>
      <c r="AE92" s="35">
        <f t="shared" si="75"/>
        <v>0</v>
      </c>
      <c r="AF92" s="35">
        <f t="shared" si="76"/>
        <v>0</v>
      </c>
      <c r="AG92" s="35">
        <f t="shared" si="77"/>
        <v>0</v>
      </c>
      <c r="AH92" s="35">
        <f t="shared" si="78"/>
        <v>0</v>
      </c>
      <c r="AI92" s="77" t="s">
        <v>59</v>
      </c>
      <c r="AJ92" s="65">
        <f t="shared" si="79"/>
        <v>0</v>
      </c>
      <c r="AK92" s="65">
        <f t="shared" si="80"/>
        <v>0</v>
      </c>
      <c r="AL92" s="65">
        <f t="shared" si="81"/>
        <v>7804</v>
      </c>
      <c r="AN92" s="35">
        <v>21</v>
      </c>
      <c r="AO92" s="35">
        <f>I92*1</f>
        <v>1951</v>
      </c>
      <c r="AP92" s="35">
        <f>I92*(1-1)</f>
        <v>0</v>
      </c>
      <c r="AQ92" s="79" t="s">
        <v>235</v>
      </c>
      <c r="AV92" s="35">
        <f t="shared" si="82"/>
        <v>7804</v>
      </c>
      <c r="AW92" s="35">
        <f t="shared" si="83"/>
        <v>7804</v>
      </c>
      <c r="AX92" s="35">
        <f t="shared" si="84"/>
        <v>0</v>
      </c>
      <c r="AY92" s="80" t="s">
        <v>1678</v>
      </c>
      <c r="AZ92" s="80" t="s">
        <v>1726</v>
      </c>
      <c r="BA92" s="77" t="s">
        <v>1772</v>
      </c>
      <c r="BC92" s="35">
        <f t="shared" si="85"/>
        <v>7804</v>
      </c>
      <c r="BD92" s="35">
        <f t="shared" si="86"/>
        <v>1951.0000000000002</v>
      </c>
      <c r="BE92" s="35">
        <v>0</v>
      </c>
      <c r="BF92" s="35">
        <f>92</f>
        <v>92</v>
      </c>
      <c r="BH92" s="65">
        <f t="shared" si="87"/>
        <v>7804</v>
      </c>
      <c r="BI92" s="65">
        <f t="shared" si="88"/>
        <v>0</v>
      </c>
      <c r="BJ92" s="65">
        <f t="shared" si="89"/>
        <v>7804</v>
      </c>
      <c r="BK92" s="65" t="s">
        <v>1642</v>
      </c>
      <c r="BL92" s="35" t="s">
        <v>139</v>
      </c>
    </row>
    <row r="93" spans="1:64">
      <c r="A93" s="47" t="s">
        <v>176</v>
      </c>
      <c r="B93" s="55" t="s">
        <v>59</v>
      </c>
      <c r="C93" s="55" t="s">
        <v>782</v>
      </c>
      <c r="D93" s="165" t="s">
        <v>1184</v>
      </c>
      <c r="E93" s="166"/>
      <c r="F93" s="166"/>
      <c r="G93" s="55" t="s">
        <v>1636</v>
      </c>
      <c r="H93" s="64">
        <v>4</v>
      </c>
      <c r="I93" s="64">
        <v>7175</v>
      </c>
      <c r="J93" s="64">
        <f t="shared" si="68"/>
        <v>0</v>
      </c>
      <c r="K93" s="64">
        <f t="shared" si="69"/>
        <v>28700</v>
      </c>
      <c r="L93" s="64">
        <f t="shared" si="70"/>
        <v>28700</v>
      </c>
      <c r="M93" s="73" t="s">
        <v>1658</v>
      </c>
      <c r="N93" s="19"/>
      <c r="Z93" s="35">
        <f t="shared" si="71"/>
        <v>0</v>
      </c>
      <c r="AB93" s="35">
        <f t="shared" si="72"/>
        <v>0</v>
      </c>
      <c r="AC93" s="35">
        <f t="shared" si="73"/>
        <v>0</v>
      </c>
      <c r="AD93" s="35">
        <f t="shared" si="74"/>
        <v>0</v>
      </c>
      <c r="AE93" s="35">
        <f t="shared" si="75"/>
        <v>28700</v>
      </c>
      <c r="AF93" s="35">
        <f t="shared" si="76"/>
        <v>0</v>
      </c>
      <c r="AG93" s="35">
        <f t="shared" si="77"/>
        <v>0</v>
      </c>
      <c r="AH93" s="35">
        <f t="shared" si="78"/>
        <v>0</v>
      </c>
      <c r="AI93" s="77" t="s">
        <v>59</v>
      </c>
      <c r="AJ93" s="64">
        <f t="shared" si="79"/>
        <v>0</v>
      </c>
      <c r="AK93" s="64">
        <f t="shared" si="80"/>
        <v>0</v>
      </c>
      <c r="AL93" s="64">
        <f t="shared" si="81"/>
        <v>28700</v>
      </c>
      <c r="AN93" s="35">
        <v>21</v>
      </c>
      <c r="AO93" s="35">
        <f>I93*0</f>
        <v>0</v>
      </c>
      <c r="AP93" s="35">
        <f>I93*(1-0)</f>
        <v>7175</v>
      </c>
      <c r="AQ93" s="78" t="s">
        <v>235</v>
      </c>
      <c r="AV93" s="35">
        <f t="shared" si="82"/>
        <v>28700</v>
      </c>
      <c r="AW93" s="35">
        <f t="shared" si="83"/>
        <v>0</v>
      </c>
      <c r="AX93" s="35">
        <f t="shared" si="84"/>
        <v>28700</v>
      </c>
      <c r="AY93" s="80" t="s">
        <v>1678</v>
      </c>
      <c r="AZ93" s="80" t="s">
        <v>1726</v>
      </c>
      <c r="BA93" s="77" t="s">
        <v>1772</v>
      </c>
      <c r="BC93" s="35">
        <f t="shared" si="85"/>
        <v>28700</v>
      </c>
      <c r="BD93" s="35">
        <f t="shared" si="86"/>
        <v>7175</v>
      </c>
      <c r="BE93" s="35">
        <v>0</v>
      </c>
      <c r="BF93" s="35">
        <f>93</f>
        <v>93</v>
      </c>
      <c r="BH93" s="64">
        <f t="shared" si="87"/>
        <v>0</v>
      </c>
      <c r="BI93" s="64">
        <f t="shared" si="88"/>
        <v>28700</v>
      </c>
      <c r="BJ93" s="64">
        <f t="shared" si="89"/>
        <v>28700</v>
      </c>
      <c r="BK93" s="64" t="s">
        <v>1790</v>
      </c>
      <c r="BL93" s="35" t="s">
        <v>139</v>
      </c>
    </row>
    <row r="94" spans="1:64">
      <c r="A94" s="48" t="s">
        <v>177</v>
      </c>
      <c r="B94" s="56" t="s">
        <v>59</v>
      </c>
      <c r="C94" s="56" t="s">
        <v>780</v>
      </c>
      <c r="D94" s="170" t="s">
        <v>1182</v>
      </c>
      <c r="E94" s="171"/>
      <c r="F94" s="171"/>
      <c r="G94" s="56" t="s">
        <v>1636</v>
      </c>
      <c r="H94" s="65">
        <v>4</v>
      </c>
      <c r="I94" s="65">
        <v>1951</v>
      </c>
      <c r="J94" s="65">
        <f t="shared" si="68"/>
        <v>7804</v>
      </c>
      <c r="K94" s="65">
        <f t="shared" si="69"/>
        <v>0</v>
      </c>
      <c r="L94" s="65">
        <f t="shared" si="70"/>
        <v>7804</v>
      </c>
      <c r="M94" s="74" t="s">
        <v>1658</v>
      </c>
      <c r="N94" s="19"/>
      <c r="Z94" s="35">
        <f t="shared" si="71"/>
        <v>0</v>
      </c>
      <c r="AB94" s="35">
        <f t="shared" si="72"/>
        <v>0</v>
      </c>
      <c r="AC94" s="35">
        <f t="shared" si="73"/>
        <v>0</v>
      </c>
      <c r="AD94" s="35">
        <f t="shared" si="74"/>
        <v>7804</v>
      </c>
      <c r="AE94" s="35">
        <f t="shared" si="75"/>
        <v>0</v>
      </c>
      <c r="AF94" s="35">
        <f t="shared" si="76"/>
        <v>0</v>
      </c>
      <c r="AG94" s="35">
        <f t="shared" si="77"/>
        <v>0</v>
      </c>
      <c r="AH94" s="35">
        <f t="shared" si="78"/>
        <v>0</v>
      </c>
      <c r="AI94" s="77" t="s">
        <v>59</v>
      </c>
      <c r="AJ94" s="65">
        <f t="shared" si="79"/>
        <v>0</v>
      </c>
      <c r="AK94" s="65">
        <f t="shared" si="80"/>
        <v>0</v>
      </c>
      <c r="AL94" s="65">
        <f t="shared" si="81"/>
        <v>7804</v>
      </c>
      <c r="AN94" s="35">
        <v>21</v>
      </c>
      <c r="AO94" s="35">
        <f>I94*1</f>
        <v>1951</v>
      </c>
      <c r="AP94" s="35">
        <f>I94*(1-1)</f>
        <v>0</v>
      </c>
      <c r="AQ94" s="79" t="s">
        <v>235</v>
      </c>
      <c r="AV94" s="35">
        <f t="shared" si="82"/>
        <v>7804</v>
      </c>
      <c r="AW94" s="35">
        <f t="shared" si="83"/>
        <v>7804</v>
      </c>
      <c r="AX94" s="35">
        <f t="shared" si="84"/>
        <v>0</v>
      </c>
      <c r="AY94" s="80" t="s">
        <v>1678</v>
      </c>
      <c r="AZ94" s="80" t="s">
        <v>1726</v>
      </c>
      <c r="BA94" s="77" t="s">
        <v>1772</v>
      </c>
      <c r="BC94" s="35">
        <f t="shared" si="85"/>
        <v>7804</v>
      </c>
      <c r="BD94" s="35">
        <f t="shared" si="86"/>
        <v>1951.0000000000002</v>
      </c>
      <c r="BE94" s="35">
        <v>0</v>
      </c>
      <c r="BF94" s="35">
        <f>94</f>
        <v>94</v>
      </c>
      <c r="BH94" s="65">
        <f t="shared" si="87"/>
        <v>7804</v>
      </c>
      <c r="BI94" s="65">
        <f t="shared" si="88"/>
        <v>0</v>
      </c>
      <c r="BJ94" s="65">
        <f t="shared" si="89"/>
        <v>7804</v>
      </c>
      <c r="BK94" s="65" t="s">
        <v>1642</v>
      </c>
      <c r="BL94" s="35" t="s">
        <v>139</v>
      </c>
    </row>
    <row r="95" spans="1:64">
      <c r="A95" s="47" t="s">
        <v>132</v>
      </c>
      <c r="B95" s="55" t="s">
        <v>59</v>
      </c>
      <c r="C95" s="55" t="s">
        <v>783</v>
      </c>
      <c r="D95" s="165" t="s">
        <v>1185</v>
      </c>
      <c r="E95" s="166"/>
      <c r="F95" s="166"/>
      <c r="G95" s="55" t="s">
        <v>1636</v>
      </c>
      <c r="H95" s="64">
        <v>1</v>
      </c>
      <c r="I95" s="64">
        <v>6336</v>
      </c>
      <c r="J95" s="64">
        <f t="shared" si="68"/>
        <v>0</v>
      </c>
      <c r="K95" s="64">
        <f t="shared" si="69"/>
        <v>6336</v>
      </c>
      <c r="L95" s="64">
        <f t="shared" si="70"/>
        <v>6336</v>
      </c>
      <c r="M95" s="73" t="s">
        <v>1658</v>
      </c>
      <c r="N95" s="19"/>
      <c r="Z95" s="35">
        <f t="shared" si="71"/>
        <v>0</v>
      </c>
      <c r="AB95" s="35">
        <f t="shared" si="72"/>
        <v>0</v>
      </c>
      <c r="AC95" s="35">
        <f t="shared" si="73"/>
        <v>0</v>
      </c>
      <c r="AD95" s="35">
        <f t="shared" si="74"/>
        <v>0</v>
      </c>
      <c r="AE95" s="35">
        <f t="shared" si="75"/>
        <v>6336</v>
      </c>
      <c r="AF95" s="35">
        <f t="shared" si="76"/>
        <v>0</v>
      </c>
      <c r="AG95" s="35">
        <f t="shared" si="77"/>
        <v>0</v>
      </c>
      <c r="AH95" s="35">
        <f t="shared" si="78"/>
        <v>0</v>
      </c>
      <c r="AI95" s="77" t="s">
        <v>59</v>
      </c>
      <c r="AJ95" s="64">
        <f t="shared" si="79"/>
        <v>0</v>
      </c>
      <c r="AK95" s="64">
        <f t="shared" si="80"/>
        <v>0</v>
      </c>
      <c r="AL95" s="64">
        <f t="shared" si="81"/>
        <v>6336</v>
      </c>
      <c r="AN95" s="35">
        <v>21</v>
      </c>
      <c r="AO95" s="35">
        <f>I95*0</f>
        <v>0</v>
      </c>
      <c r="AP95" s="35">
        <f>I95*(1-0)</f>
        <v>6336</v>
      </c>
      <c r="AQ95" s="78" t="s">
        <v>235</v>
      </c>
      <c r="AV95" s="35">
        <f t="shared" si="82"/>
        <v>6336</v>
      </c>
      <c r="AW95" s="35">
        <f t="shared" si="83"/>
        <v>0</v>
      </c>
      <c r="AX95" s="35">
        <f t="shared" si="84"/>
        <v>6336</v>
      </c>
      <c r="AY95" s="80" t="s">
        <v>1678</v>
      </c>
      <c r="AZ95" s="80" t="s">
        <v>1726</v>
      </c>
      <c r="BA95" s="77" t="s">
        <v>1772</v>
      </c>
      <c r="BC95" s="35">
        <f t="shared" si="85"/>
        <v>6336</v>
      </c>
      <c r="BD95" s="35">
        <f t="shared" si="86"/>
        <v>6336</v>
      </c>
      <c r="BE95" s="35">
        <v>0</v>
      </c>
      <c r="BF95" s="35">
        <f>95</f>
        <v>95</v>
      </c>
      <c r="BH95" s="64">
        <f t="shared" si="87"/>
        <v>0</v>
      </c>
      <c r="BI95" s="64">
        <f t="shared" si="88"/>
        <v>6336</v>
      </c>
      <c r="BJ95" s="64">
        <f t="shared" si="89"/>
        <v>6336</v>
      </c>
      <c r="BK95" s="64" t="s">
        <v>1790</v>
      </c>
      <c r="BL95" s="35" t="s">
        <v>139</v>
      </c>
    </row>
    <row r="96" spans="1:64">
      <c r="A96" s="48" t="s">
        <v>133</v>
      </c>
      <c r="B96" s="56" t="s">
        <v>59</v>
      </c>
      <c r="C96" s="56" t="s">
        <v>780</v>
      </c>
      <c r="D96" s="170" t="s">
        <v>1182</v>
      </c>
      <c r="E96" s="171"/>
      <c r="F96" s="171"/>
      <c r="G96" s="56" t="s">
        <v>1636</v>
      </c>
      <c r="H96" s="65">
        <v>1</v>
      </c>
      <c r="I96" s="65">
        <v>1951</v>
      </c>
      <c r="J96" s="65">
        <f t="shared" si="68"/>
        <v>1951</v>
      </c>
      <c r="K96" s="65">
        <f t="shared" si="69"/>
        <v>0</v>
      </c>
      <c r="L96" s="65">
        <f t="shared" si="70"/>
        <v>1951</v>
      </c>
      <c r="M96" s="74" t="s">
        <v>1658</v>
      </c>
      <c r="N96" s="19"/>
      <c r="Z96" s="35">
        <f t="shared" si="71"/>
        <v>0</v>
      </c>
      <c r="AB96" s="35">
        <f t="shared" si="72"/>
        <v>0</v>
      </c>
      <c r="AC96" s="35">
        <f t="shared" si="73"/>
        <v>0</v>
      </c>
      <c r="AD96" s="35">
        <f t="shared" si="74"/>
        <v>1951</v>
      </c>
      <c r="AE96" s="35">
        <f t="shared" si="75"/>
        <v>0</v>
      </c>
      <c r="AF96" s="35">
        <f t="shared" si="76"/>
        <v>0</v>
      </c>
      <c r="AG96" s="35">
        <f t="shared" si="77"/>
        <v>0</v>
      </c>
      <c r="AH96" s="35">
        <f t="shared" si="78"/>
        <v>0</v>
      </c>
      <c r="AI96" s="77" t="s">
        <v>59</v>
      </c>
      <c r="AJ96" s="65">
        <f t="shared" si="79"/>
        <v>0</v>
      </c>
      <c r="AK96" s="65">
        <f t="shared" si="80"/>
        <v>0</v>
      </c>
      <c r="AL96" s="65">
        <f t="shared" si="81"/>
        <v>1951</v>
      </c>
      <c r="AN96" s="35">
        <v>21</v>
      </c>
      <c r="AO96" s="35">
        <f>I96*1</f>
        <v>1951</v>
      </c>
      <c r="AP96" s="35">
        <f>I96*(1-1)</f>
        <v>0</v>
      </c>
      <c r="AQ96" s="79" t="s">
        <v>235</v>
      </c>
      <c r="AV96" s="35">
        <f t="shared" si="82"/>
        <v>1951</v>
      </c>
      <c r="AW96" s="35">
        <f t="shared" si="83"/>
        <v>1951</v>
      </c>
      <c r="AX96" s="35">
        <f t="shared" si="84"/>
        <v>0</v>
      </c>
      <c r="AY96" s="80" t="s">
        <v>1678</v>
      </c>
      <c r="AZ96" s="80" t="s">
        <v>1726</v>
      </c>
      <c r="BA96" s="77" t="s">
        <v>1772</v>
      </c>
      <c r="BC96" s="35">
        <f t="shared" si="85"/>
        <v>1951</v>
      </c>
      <c r="BD96" s="35">
        <f t="shared" si="86"/>
        <v>1951.0000000000002</v>
      </c>
      <c r="BE96" s="35">
        <v>0</v>
      </c>
      <c r="BF96" s="35">
        <f>96</f>
        <v>96</v>
      </c>
      <c r="BH96" s="65">
        <f t="shared" si="87"/>
        <v>1951</v>
      </c>
      <c r="BI96" s="65">
        <f t="shared" si="88"/>
        <v>0</v>
      </c>
      <c r="BJ96" s="65">
        <f t="shared" si="89"/>
        <v>1951</v>
      </c>
      <c r="BK96" s="65" t="s">
        <v>1642</v>
      </c>
      <c r="BL96" s="35" t="s">
        <v>139</v>
      </c>
    </row>
    <row r="97" spans="1:64">
      <c r="A97" s="47" t="s">
        <v>134</v>
      </c>
      <c r="B97" s="55" t="s">
        <v>59</v>
      </c>
      <c r="C97" s="55" t="s">
        <v>784</v>
      </c>
      <c r="D97" s="165" t="s">
        <v>1186</v>
      </c>
      <c r="E97" s="166"/>
      <c r="F97" s="166"/>
      <c r="G97" s="55" t="s">
        <v>1636</v>
      </c>
      <c r="H97" s="64">
        <v>1</v>
      </c>
      <c r="I97" s="64">
        <v>6336</v>
      </c>
      <c r="J97" s="64">
        <f t="shared" si="68"/>
        <v>0</v>
      </c>
      <c r="K97" s="64">
        <f t="shared" si="69"/>
        <v>6336</v>
      </c>
      <c r="L97" s="64">
        <f t="shared" si="70"/>
        <v>6336</v>
      </c>
      <c r="M97" s="73" t="s">
        <v>1658</v>
      </c>
      <c r="N97" s="19"/>
      <c r="Z97" s="35">
        <f t="shared" si="71"/>
        <v>0</v>
      </c>
      <c r="AB97" s="35">
        <f t="shared" si="72"/>
        <v>0</v>
      </c>
      <c r="AC97" s="35">
        <f t="shared" si="73"/>
        <v>0</v>
      </c>
      <c r="AD97" s="35">
        <f t="shared" si="74"/>
        <v>0</v>
      </c>
      <c r="AE97" s="35">
        <f t="shared" si="75"/>
        <v>6336</v>
      </c>
      <c r="AF97" s="35">
        <f t="shared" si="76"/>
        <v>0</v>
      </c>
      <c r="AG97" s="35">
        <f t="shared" si="77"/>
        <v>0</v>
      </c>
      <c r="AH97" s="35">
        <f t="shared" si="78"/>
        <v>0</v>
      </c>
      <c r="AI97" s="77" t="s">
        <v>59</v>
      </c>
      <c r="AJ97" s="64">
        <f t="shared" si="79"/>
        <v>0</v>
      </c>
      <c r="AK97" s="64">
        <f t="shared" si="80"/>
        <v>0</v>
      </c>
      <c r="AL97" s="64">
        <f t="shared" si="81"/>
        <v>6336</v>
      </c>
      <c r="AN97" s="35">
        <v>21</v>
      </c>
      <c r="AO97" s="35">
        <f>I97*0</f>
        <v>0</v>
      </c>
      <c r="AP97" s="35">
        <f>I97*(1-0)</f>
        <v>6336</v>
      </c>
      <c r="AQ97" s="78" t="s">
        <v>235</v>
      </c>
      <c r="AV97" s="35">
        <f t="shared" si="82"/>
        <v>6336</v>
      </c>
      <c r="AW97" s="35">
        <f t="shared" si="83"/>
        <v>0</v>
      </c>
      <c r="AX97" s="35">
        <f t="shared" si="84"/>
        <v>6336</v>
      </c>
      <c r="AY97" s="80" t="s">
        <v>1678</v>
      </c>
      <c r="AZ97" s="80" t="s">
        <v>1726</v>
      </c>
      <c r="BA97" s="77" t="s">
        <v>1772</v>
      </c>
      <c r="BC97" s="35">
        <f t="shared" si="85"/>
        <v>6336</v>
      </c>
      <c r="BD97" s="35">
        <f t="shared" si="86"/>
        <v>6336</v>
      </c>
      <c r="BE97" s="35">
        <v>0</v>
      </c>
      <c r="BF97" s="35">
        <f>97</f>
        <v>97</v>
      </c>
      <c r="BH97" s="64">
        <f t="shared" si="87"/>
        <v>0</v>
      </c>
      <c r="BI97" s="64">
        <f t="shared" si="88"/>
        <v>6336</v>
      </c>
      <c r="BJ97" s="64">
        <f t="shared" si="89"/>
        <v>6336</v>
      </c>
      <c r="BK97" s="64" t="s">
        <v>1790</v>
      </c>
      <c r="BL97" s="35" t="s">
        <v>139</v>
      </c>
    </row>
    <row r="98" spans="1:64">
      <c r="A98" s="48" t="s">
        <v>150</v>
      </c>
      <c r="B98" s="56" t="s">
        <v>59</v>
      </c>
      <c r="C98" s="56" t="s">
        <v>780</v>
      </c>
      <c r="D98" s="170" t="s">
        <v>1182</v>
      </c>
      <c r="E98" s="171"/>
      <c r="F98" s="171"/>
      <c r="G98" s="56" t="s">
        <v>1636</v>
      </c>
      <c r="H98" s="65">
        <v>1</v>
      </c>
      <c r="I98" s="65">
        <v>1951</v>
      </c>
      <c r="J98" s="65">
        <f t="shared" si="68"/>
        <v>1951</v>
      </c>
      <c r="K98" s="65">
        <f t="shared" si="69"/>
        <v>0</v>
      </c>
      <c r="L98" s="65">
        <f t="shared" si="70"/>
        <v>1951</v>
      </c>
      <c r="M98" s="74" t="s">
        <v>1658</v>
      </c>
      <c r="N98" s="19"/>
      <c r="Z98" s="35">
        <f t="shared" si="71"/>
        <v>0</v>
      </c>
      <c r="AB98" s="35">
        <f t="shared" si="72"/>
        <v>0</v>
      </c>
      <c r="AC98" s="35">
        <f t="shared" si="73"/>
        <v>0</v>
      </c>
      <c r="AD98" s="35">
        <f t="shared" si="74"/>
        <v>1951</v>
      </c>
      <c r="AE98" s="35">
        <f t="shared" si="75"/>
        <v>0</v>
      </c>
      <c r="AF98" s="35">
        <f t="shared" si="76"/>
        <v>0</v>
      </c>
      <c r="AG98" s="35">
        <f t="shared" si="77"/>
        <v>0</v>
      </c>
      <c r="AH98" s="35">
        <f t="shared" si="78"/>
        <v>0</v>
      </c>
      <c r="AI98" s="77" t="s">
        <v>59</v>
      </c>
      <c r="AJ98" s="65">
        <f t="shared" si="79"/>
        <v>0</v>
      </c>
      <c r="AK98" s="65">
        <f t="shared" si="80"/>
        <v>0</v>
      </c>
      <c r="AL98" s="65">
        <f t="shared" si="81"/>
        <v>1951</v>
      </c>
      <c r="AN98" s="35">
        <v>21</v>
      </c>
      <c r="AO98" s="35">
        <f>I98*1</f>
        <v>1951</v>
      </c>
      <c r="AP98" s="35">
        <f>I98*(1-1)</f>
        <v>0</v>
      </c>
      <c r="AQ98" s="79" t="s">
        <v>235</v>
      </c>
      <c r="AV98" s="35">
        <f t="shared" si="82"/>
        <v>1951</v>
      </c>
      <c r="AW98" s="35">
        <f t="shared" si="83"/>
        <v>1951</v>
      </c>
      <c r="AX98" s="35">
        <f t="shared" si="84"/>
        <v>0</v>
      </c>
      <c r="AY98" s="80" t="s">
        <v>1678</v>
      </c>
      <c r="AZ98" s="80" t="s">
        <v>1726</v>
      </c>
      <c r="BA98" s="77" t="s">
        <v>1772</v>
      </c>
      <c r="BC98" s="35">
        <f t="shared" si="85"/>
        <v>1951</v>
      </c>
      <c r="BD98" s="35">
        <f t="shared" si="86"/>
        <v>1951.0000000000002</v>
      </c>
      <c r="BE98" s="35">
        <v>0</v>
      </c>
      <c r="BF98" s="35">
        <f>98</f>
        <v>98</v>
      </c>
      <c r="BH98" s="65">
        <f t="shared" si="87"/>
        <v>1951</v>
      </c>
      <c r="BI98" s="65">
        <f t="shared" si="88"/>
        <v>0</v>
      </c>
      <c r="BJ98" s="65">
        <f t="shared" si="89"/>
        <v>1951</v>
      </c>
      <c r="BK98" s="65" t="s">
        <v>1642</v>
      </c>
      <c r="BL98" s="35" t="s">
        <v>139</v>
      </c>
    </row>
    <row r="99" spans="1:64">
      <c r="A99" s="47" t="s">
        <v>271</v>
      </c>
      <c r="B99" s="55" t="s">
        <v>59</v>
      </c>
      <c r="C99" s="55" t="s">
        <v>785</v>
      </c>
      <c r="D99" s="165" t="s">
        <v>1187</v>
      </c>
      <c r="E99" s="166"/>
      <c r="F99" s="166"/>
      <c r="G99" s="55" t="s">
        <v>1634</v>
      </c>
      <c r="H99" s="64">
        <v>0.63500000000000001</v>
      </c>
      <c r="I99" s="64">
        <v>518</v>
      </c>
      <c r="J99" s="64">
        <f t="shared" si="68"/>
        <v>0</v>
      </c>
      <c r="K99" s="64">
        <f t="shared" si="69"/>
        <v>328.93</v>
      </c>
      <c r="L99" s="64">
        <f t="shared" si="70"/>
        <v>328.93</v>
      </c>
      <c r="M99" s="73" t="s">
        <v>1657</v>
      </c>
      <c r="N99" s="19"/>
      <c r="Z99" s="35">
        <f t="shared" si="71"/>
        <v>328.93</v>
      </c>
      <c r="AB99" s="35">
        <f t="shared" si="72"/>
        <v>0</v>
      </c>
      <c r="AC99" s="35">
        <f t="shared" si="73"/>
        <v>0</v>
      </c>
      <c r="AD99" s="35">
        <f t="shared" si="74"/>
        <v>0</v>
      </c>
      <c r="AE99" s="35">
        <f t="shared" si="75"/>
        <v>0</v>
      </c>
      <c r="AF99" s="35">
        <f t="shared" si="76"/>
        <v>0</v>
      </c>
      <c r="AG99" s="35">
        <f t="shared" si="77"/>
        <v>0</v>
      </c>
      <c r="AH99" s="35">
        <f t="shared" si="78"/>
        <v>0</v>
      </c>
      <c r="AI99" s="77" t="s">
        <v>59</v>
      </c>
      <c r="AJ99" s="64">
        <f t="shared" si="79"/>
        <v>0</v>
      </c>
      <c r="AK99" s="64">
        <f t="shared" si="80"/>
        <v>0</v>
      </c>
      <c r="AL99" s="64">
        <f t="shared" si="81"/>
        <v>328.93</v>
      </c>
      <c r="AN99" s="35">
        <v>21</v>
      </c>
      <c r="AO99" s="35">
        <f>I99*0</f>
        <v>0</v>
      </c>
      <c r="AP99" s="35">
        <f>I99*(1-0)</f>
        <v>518</v>
      </c>
      <c r="AQ99" s="78" t="s">
        <v>112</v>
      </c>
      <c r="AV99" s="35">
        <f t="shared" si="82"/>
        <v>328.93</v>
      </c>
      <c r="AW99" s="35">
        <f t="shared" si="83"/>
        <v>0</v>
      </c>
      <c r="AX99" s="35">
        <f t="shared" si="84"/>
        <v>328.93</v>
      </c>
      <c r="AY99" s="80" t="s">
        <v>1678</v>
      </c>
      <c r="AZ99" s="80" t="s">
        <v>1726</v>
      </c>
      <c r="BA99" s="77" t="s">
        <v>1772</v>
      </c>
      <c r="BC99" s="35">
        <f t="shared" si="85"/>
        <v>328.93</v>
      </c>
      <c r="BD99" s="35">
        <f t="shared" si="86"/>
        <v>518</v>
      </c>
      <c r="BE99" s="35">
        <v>0</v>
      </c>
      <c r="BF99" s="35">
        <f>99</f>
        <v>99</v>
      </c>
      <c r="BH99" s="64">
        <f t="shared" si="87"/>
        <v>0</v>
      </c>
      <c r="BI99" s="64">
        <f t="shared" si="88"/>
        <v>328.93</v>
      </c>
      <c r="BJ99" s="64">
        <f t="shared" si="89"/>
        <v>328.93</v>
      </c>
      <c r="BK99" s="64" t="s">
        <v>1790</v>
      </c>
      <c r="BL99" s="35" t="s">
        <v>139</v>
      </c>
    </row>
    <row r="100" spans="1:64">
      <c r="A100" s="46"/>
      <c r="B100" s="54" t="s">
        <v>59</v>
      </c>
      <c r="C100" s="54" t="s">
        <v>140</v>
      </c>
      <c r="D100" s="163" t="s">
        <v>191</v>
      </c>
      <c r="E100" s="164"/>
      <c r="F100" s="164"/>
      <c r="G100" s="61" t="s">
        <v>57</v>
      </c>
      <c r="H100" s="61" t="s">
        <v>57</v>
      </c>
      <c r="I100" s="61" t="s">
        <v>57</v>
      </c>
      <c r="J100" s="83">
        <f>SUM(J101:J108)</f>
        <v>0</v>
      </c>
      <c r="K100" s="83">
        <f>SUM(K101:K108)</f>
        <v>99865.109599999996</v>
      </c>
      <c r="L100" s="83">
        <f>SUM(L101:L108)</f>
        <v>99865.109599999996</v>
      </c>
      <c r="M100" s="72"/>
      <c r="N100" s="19"/>
      <c r="AI100" s="77" t="s">
        <v>59</v>
      </c>
      <c r="AS100" s="83">
        <f>SUM(AJ101:AJ108)</f>
        <v>0</v>
      </c>
      <c r="AT100" s="83">
        <f>SUM(AK101:AK108)</f>
        <v>0</v>
      </c>
      <c r="AU100" s="83">
        <f>SUM(AL101:AL108)</f>
        <v>99865.109599999996</v>
      </c>
    </row>
    <row r="101" spans="1:64">
      <c r="A101" s="47" t="s">
        <v>272</v>
      </c>
      <c r="B101" s="55" t="s">
        <v>59</v>
      </c>
      <c r="C101" s="55" t="s">
        <v>786</v>
      </c>
      <c r="D101" s="165" t="s">
        <v>1188</v>
      </c>
      <c r="E101" s="166"/>
      <c r="F101" s="166"/>
      <c r="G101" s="55" t="s">
        <v>1632</v>
      </c>
      <c r="H101" s="64">
        <v>649</v>
      </c>
      <c r="I101" s="64">
        <v>45</v>
      </c>
      <c r="J101" s="64">
        <f>H101*AO101</f>
        <v>0</v>
      </c>
      <c r="K101" s="64">
        <f>H101*AP101</f>
        <v>29205</v>
      </c>
      <c r="L101" s="64">
        <f>H101*I101</f>
        <v>29205</v>
      </c>
      <c r="M101" s="73" t="s">
        <v>1657</v>
      </c>
      <c r="N101" s="19"/>
      <c r="Z101" s="35">
        <f>IF(AQ101="5",BJ101,0)</f>
        <v>0</v>
      </c>
      <c r="AB101" s="35">
        <f>IF(AQ101="1",BH101,0)</f>
        <v>0</v>
      </c>
      <c r="AC101" s="35">
        <f>IF(AQ101="1",BI101,0)</f>
        <v>29205</v>
      </c>
      <c r="AD101" s="35">
        <f>IF(AQ101="7",BH101,0)</f>
        <v>0</v>
      </c>
      <c r="AE101" s="35">
        <f>IF(AQ101="7",BI101,0)</f>
        <v>0</v>
      </c>
      <c r="AF101" s="35">
        <f>IF(AQ101="2",BH101,0)</f>
        <v>0</v>
      </c>
      <c r="AG101" s="35">
        <f>IF(AQ101="2",BI101,0)</f>
        <v>0</v>
      </c>
      <c r="AH101" s="35">
        <f>IF(AQ101="0",BJ101,0)</f>
        <v>0</v>
      </c>
      <c r="AI101" s="77" t="s">
        <v>59</v>
      </c>
      <c r="AJ101" s="64">
        <f>IF(AN101=0,L101,0)</f>
        <v>0</v>
      </c>
      <c r="AK101" s="64">
        <f>IF(AN101=15,L101,0)</f>
        <v>0</v>
      </c>
      <c r="AL101" s="64">
        <f>IF(AN101=21,L101,0)</f>
        <v>29205</v>
      </c>
      <c r="AN101" s="35">
        <v>21</v>
      </c>
      <c r="AO101" s="35">
        <f>I101*0</f>
        <v>0</v>
      </c>
      <c r="AP101" s="35">
        <f>I101*(1-0)</f>
        <v>45</v>
      </c>
      <c r="AQ101" s="78" t="s">
        <v>109</v>
      </c>
      <c r="AV101" s="35">
        <f>AW101+AX101</f>
        <v>29205</v>
      </c>
      <c r="AW101" s="35">
        <f>H101*AO101</f>
        <v>0</v>
      </c>
      <c r="AX101" s="35">
        <f>H101*AP101</f>
        <v>29205</v>
      </c>
      <c r="AY101" s="80" t="s">
        <v>1679</v>
      </c>
      <c r="AZ101" s="80" t="s">
        <v>1727</v>
      </c>
      <c r="BA101" s="77" t="s">
        <v>1772</v>
      </c>
      <c r="BC101" s="35">
        <f>AW101+AX101</f>
        <v>29205</v>
      </c>
      <c r="BD101" s="35">
        <f>I101/(100-BE101)*100</f>
        <v>45</v>
      </c>
      <c r="BE101" s="35">
        <v>0</v>
      </c>
      <c r="BF101" s="35">
        <f>101</f>
        <v>101</v>
      </c>
      <c r="BH101" s="64">
        <f>H101*AO101</f>
        <v>0</v>
      </c>
      <c r="BI101" s="64">
        <f>H101*AP101</f>
        <v>29205</v>
      </c>
      <c r="BJ101" s="64">
        <f>H101*I101</f>
        <v>29205</v>
      </c>
      <c r="BK101" s="64" t="s">
        <v>1790</v>
      </c>
      <c r="BL101" s="35">
        <v>94</v>
      </c>
    </row>
    <row r="102" spans="1:64">
      <c r="A102" s="47" t="s">
        <v>273</v>
      </c>
      <c r="B102" s="55" t="s">
        <v>59</v>
      </c>
      <c r="C102" s="55" t="s">
        <v>787</v>
      </c>
      <c r="D102" s="165" t="s">
        <v>1189</v>
      </c>
      <c r="E102" s="166"/>
      <c r="F102" s="166"/>
      <c r="G102" s="55" t="s">
        <v>1632</v>
      </c>
      <c r="H102" s="64">
        <v>649</v>
      </c>
      <c r="I102" s="64">
        <v>20</v>
      </c>
      <c r="J102" s="64">
        <f>H102*AO102</f>
        <v>0</v>
      </c>
      <c r="K102" s="64">
        <f>H102*AP102</f>
        <v>12980</v>
      </c>
      <c r="L102" s="64">
        <f>H102*I102</f>
        <v>12980</v>
      </c>
      <c r="M102" s="73" t="s">
        <v>1657</v>
      </c>
      <c r="N102" s="19"/>
      <c r="Z102" s="35">
        <f>IF(AQ102="5",BJ102,0)</f>
        <v>0</v>
      </c>
      <c r="AB102" s="35">
        <f>IF(AQ102="1",BH102,0)</f>
        <v>0</v>
      </c>
      <c r="AC102" s="35">
        <f>IF(AQ102="1",BI102,0)</f>
        <v>12980</v>
      </c>
      <c r="AD102" s="35">
        <f>IF(AQ102="7",BH102,0)</f>
        <v>0</v>
      </c>
      <c r="AE102" s="35">
        <f>IF(AQ102="7",BI102,0)</f>
        <v>0</v>
      </c>
      <c r="AF102" s="35">
        <f>IF(AQ102="2",BH102,0)</f>
        <v>0</v>
      </c>
      <c r="AG102" s="35">
        <f>IF(AQ102="2",BI102,0)</f>
        <v>0</v>
      </c>
      <c r="AH102" s="35">
        <f>IF(AQ102="0",BJ102,0)</f>
        <v>0</v>
      </c>
      <c r="AI102" s="77" t="s">
        <v>59</v>
      </c>
      <c r="AJ102" s="64">
        <f>IF(AN102=0,L102,0)</f>
        <v>0</v>
      </c>
      <c r="AK102" s="64">
        <f>IF(AN102=15,L102,0)</f>
        <v>0</v>
      </c>
      <c r="AL102" s="64">
        <f>IF(AN102=21,L102,0)</f>
        <v>12980</v>
      </c>
      <c r="AN102" s="35">
        <v>21</v>
      </c>
      <c r="AO102" s="35">
        <f>I102*0</f>
        <v>0</v>
      </c>
      <c r="AP102" s="35">
        <f>I102*(1-0)</f>
        <v>20</v>
      </c>
      <c r="AQ102" s="78" t="s">
        <v>109</v>
      </c>
      <c r="AV102" s="35">
        <f>AW102+AX102</f>
        <v>12980</v>
      </c>
      <c r="AW102" s="35">
        <f>H102*AO102</f>
        <v>0</v>
      </c>
      <c r="AX102" s="35">
        <f>H102*AP102</f>
        <v>12980</v>
      </c>
      <c r="AY102" s="80" t="s">
        <v>1679</v>
      </c>
      <c r="AZ102" s="80" t="s">
        <v>1727</v>
      </c>
      <c r="BA102" s="77" t="s">
        <v>1772</v>
      </c>
      <c r="BC102" s="35">
        <f>AW102+AX102</f>
        <v>12980</v>
      </c>
      <c r="BD102" s="35">
        <f>I102/(100-BE102)*100</f>
        <v>20</v>
      </c>
      <c r="BE102" s="35">
        <v>0</v>
      </c>
      <c r="BF102" s="35">
        <f>102</f>
        <v>102</v>
      </c>
      <c r="BH102" s="64">
        <f>H102*AO102</f>
        <v>0</v>
      </c>
      <c r="BI102" s="64">
        <f>H102*AP102</f>
        <v>12980</v>
      </c>
      <c r="BJ102" s="64">
        <f>H102*I102</f>
        <v>12980</v>
      </c>
      <c r="BK102" s="64" t="s">
        <v>1790</v>
      </c>
      <c r="BL102" s="35">
        <v>94</v>
      </c>
    </row>
    <row r="103" spans="1:64">
      <c r="A103" s="19"/>
      <c r="C103" s="59" t="s">
        <v>730</v>
      </c>
      <c r="D103" s="167" t="s">
        <v>1190</v>
      </c>
      <c r="E103" s="168"/>
      <c r="F103" s="168"/>
      <c r="G103" s="168"/>
      <c r="H103" s="168"/>
      <c r="I103" s="168"/>
      <c r="J103" s="168"/>
      <c r="K103" s="168"/>
      <c r="L103" s="168"/>
      <c r="M103" s="169"/>
      <c r="N103" s="19"/>
    </row>
    <row r="104" spans="1:64">
      <c r="A104" s="47" t="s">
        <v>274</v>
      </c>
      <c r="B104" s="55" t="s">
        <v>59</v>
      </c>
      <c r="C104" s="55" t="s">
        <v>788</v>
      </c>
      <c r="D104" s="165" t="s">
        <v>1191</v>
      </c>
      <c r="E104" s="166"/>
      <c r="F104" s="166"/>
      <c r="G104" s="55" t="s">
        <v>1632</v>
      </c>
      <c r="H104" s="64">
        <v>649</v>
      </c>
      <c r="I104" s="64">
        <v>37</v>
      </c>
      <c r="J104" s="64">
        <f>H104*AO104</f>
        <v>0</v>
      </c>
      <c r="K104" s="64">
        <f>H104*AP104</f>
        <v>24013</v>
      </c>
      <c r="L104" s="64">
        <f>H104*I104</f>
        <v>24013</v>
      </c>
      <c r="M104" s="73" t="s">
        <v>1657</v>
      </c>
      <c r="N104" s="19"/>
      <c r="Z104" s="35">
        <f>IF(AQ104="5",BJ104,0)</f>
        <v>0</v>
      </c>
      <c r="AB104" s="35">
        <f>IF(AQ104="1",BH104,0)</f>
        <v>0</v>
      </c>
      <c r="AC104" s="35">
        <f>IF(AQ104="1",BI104,0)</f>
        <v>24013</v>
      </c>
      <c r="AD104" s="35">
        <f>IF(AQ104="7",BH104,0)</f>
        <v>0</v>
      </c>
      <c r="AE104" s="35">
        <f>IF(AQ104="7",BI104,0)</f>
        <v>0</v>
      </c>
      <c r="AF104" s="35">
        <f>IF(AQ104="2",BH104,0)</f>
        <v>0</v>
      </c>
      <c r="AG104" s="35">
        <f>IF(AQ104="2",BI104,0)</f>
        <v>0</v>
      </c>
      <c r="AH104" s="35">
        <f>IF(AQ104="0",BJ104,0)</f>
        <v>0</v>
      </c>
      <c r="AI104" s="77" t="s">
        <v>59</v>
      </c>
      <c r="AJ104" s="64">
        <f>IF(AN104=0,L104,0)</f>
        <v>0</v>
      </c>
      <c r="AK104" s="64">
        <f>IF(AN104=15,L104,0)</f>
        <v>0</v>
      </c>
      <c r="AL104" s="64">
        <f>IF(AN104=21,L104,0)</f>
        <v>24013</v>
      </c>
      <c r="AN104" s="35">
        <v>21</v>
      </c>
      <c r="AO104" s="35">
        <f>I104*0</f>
        <v>0</v>
      </c>
      <c r="AP104" s="35">
        <f>I104*(1-0)</f>
        <v>37</v>
      </c>
      <c r="AQ104" s="78" t="s">
        <v>109</v>
      </c>
      <c r="AV104" s="35">
        <f>AW104+AX104</f>
        <v>24013</v>
      </c>
      <c r="AW104" s="35">
        <f>H104*AO104</f>
        <v>0</v>
      </c>
      <c r="AX104" s="35">
        <f>H104*AP104</f>
        <v>24013</v>
      </c>
      <c r="AY104" s="80" t="s">
        <v>1679</v>
      </c>
      <c r="AZ104" s="80" t="s">
        <v>1727</v>
      </c>
      <c r="BA104" s="77" t="s">
        <v>1772</v>
      </c>
      <c r="BC104" s="35">
        <f>AW104+AX104</f>
        <v>24013</v>
      </c>
      <c r="BD104" s="35">
        <f>I104/(100-BE104)*100</f>
        <v>37</v>
      </c>
      <c r="BE104" s="35">
        <v>0</v>
      </c>
      <c r="BF104" s="35">
        <f>104</f>
        <v>104</v>
      </c>
      <c r="BH104" s="64">
        <f>H104*AO104</f>
        <v>0</v>
      </c>
      <c r="BI104" s="64">
        <f>H104*AP104</f>
        <v>24013</v>
      </c>
      <c r="BJ104" s="64">
        <f>H104*I104</f>
        <v>24013</v>
      </c>
      <c r="BK104" s="64" t="s">
        <v>1790</v>
      </c>
      <c r="BL104" s="35">
        <v>94</v>
      </c>
    </row>
    <row r="105" spans="1:64">
      <c r="A105" s="47" t="s">
        <v>275</v>
      </c>
      <c r="B105" s="55" t="s">
        <v>59</v>
      </c>
      <c r="C105" s="55" t="s">
        <v>789</v>
      </c>
      <c r="D105" s="165" t="s">
        <v>1192</v>
      </c>
      <c r="E105" s="166"/>
      <c r="F105" s="166"/>
      <c r="G105" s="55" t="s">
        <v>1632</v>
      </c>
      <c r="H105" s="64">
        <v>649</v>
      </c>
      <c r="I105" s="64">
        <v>13</v>
      </c>
      <c r="J105" s="64">
        <f>H105*AO105</f>
        <v>0</v>
      </c>
      <c r="K105" s="64">
        <f>H105*AP105</f>
        <v>8437</v>
      </c>
      <c r="L105" s="64">
        <f>H105*I105</f>
        <v>8437</v>
      </c>
      <c r="M105" s="73" t="s">
        <v>1657</v>
      </c>
      <c r="N105" s="19"/>
      <c r="Z105" s="35">
        <f>IF(AQ105="5",BJ105,0)</f>
        <v>0</v>
      </c>
      <c r="AB105" s="35">
        <f>IF(AQ105="1",BH105,0)</f>
        <v>0</v>
      </c>
      <c r="AC105" s="35">
        <f>IF(AQ105="1",BI105,0)</f>
        <v>8437</v>
      </c>
      <c r="AD105" s="35">
        <f>IF(AQ105="7",BH105,0)</f>
        <v>0</v>
      </c>
      <c r="AE105" s="35">
        <f>IF(AQ105="7",BI105,0)</f>
        <v>0</v>
      </c>
      <c r="AF105" s="35">
        <f>IF(AQ105="2",BH105,0)</f>
        <v>0</v>
      </c>
      <c r="AG105" s="35">
        <f>IF(AQ105="2",BI105,0)</f>
        <v>0</v>
      </c>
      <c r="AH105" s="35">
        <f>IF(AQ105="0",BJ105,0)</f>
        <v>0</v>
      </c>
      <c r="AI105" s="77" t="s">
        <v>59</v>
      </c>
      <c r="AJ105" s="64">
        <f>IF(AN105=0,L105,0)</f>
        <v>0</v>
      </c>
      <c r="AK105" s="64">
        <f>IF(AN105=15,L105,0)</f>
        <v>0</v>
      </c>
      <c r="AL105" s="64">
        <f>IF(AN105=21,L105,0)</f>
        <v>8437</v>
      </c>
      <c r="AN105" s="35">
        <v>21</v>
      </c>
      <c r="AO105" s="35">
        <f>I105*0</f>
        <v>0</v>
      </c>
      <c r="AP105" s="35">
        <f>I105*(1-0)</f>
        <v>13</v>
      </c>
      <c r="AQ105" s="78" t="s">
        <v>109</v>
      </c>
      <c r="AV105" s="35">
        <f>AW105+AX105</f>
        <v>8437</v>
      </c>
      <c r="AW105" s="35">
        <f>H105*AO105</f>
        <v>0</v>
      </c>
      <c r="AX105" s="35">
        <f>H105*AP105</f>
        <v>8437</v>
      </c>
      <c r="AY105" s="80" t="s">
        <v>1679</v>
      </c>
      <c r="AZ105" s="80" t="s">
        <v>1727</v>
      </c>
      <c r="BA105" s="77" t="s">
        <v>1772</v>
      </c>
      <c r="BC105" s="35">
        <f>AW105+AX105</f>
        <v>8437</v>
      </c>
      <c r="BD105" s="35">
        <f>I105/(100-BE105)*100</f>
        <v>13</v>
      </c>
      <c r="BE105" s="35">
        <v>0</v>
      </c>
      <c r="BF105" s="35">
        <f>105</f>
        <v>105</v>
      </c>
      <c r="BH105" s="64">
        <f>H105*AO105</f>
        <v>0</v>
      </c>
      <c r="BI105" s="64">
        <f>H105*AP105</f>
        <v>8437</v>
      </c>
      <c r="BJ105" s="64">
        <f>H105*I105</f>
        <v>8437</v>
      </c>
      <c r="BK105" s="64" t="s">
        <v>1790</v>
      </c>
      <c r="BL105" s="35">
        <v>94</v>
      </c>
    </row>
    <row r="106" spans="1:64">
      <c r="A106" s="47" t="s">
        <v>276</v>
      </c>
      <c r="B106" s="55" t="s">
        <v>59</v>
      </c>
      <c r="C106" s="55" t="s">
        <v>790</v>
      </c>
      <c r="D106" s="165" t="s">
        <v>1193</v>
      </c>
      <c r="E106" s="166"/>
      <c r="F106" s="166"/>
      <c r="G106" s="55" t="s">
        <v>1632</v>
      </c>
      <c r="H106" s="64">
        <v>649</v>
      </c>
      <c r="I106" s="64">
        <v>11</v>
      </c>
      <c r="J106" s="64">
        <f>H106*AO106</f>
        <v>0</v>
      </c>
      <c r="K106" s="64">
        <f>H106*AP106</f>
        <v>7139</v>
      </c>
      <c r="L106" s="64">
        <f>H106*I106</f>
        <v>7139</v>
      </c>
      <c r="M106" s="73" t="s">
        <v>1657</v>
      </c>
      <c r="N106" s="19"/>
      <c r="Z106" s="35">
        <f>IF(AQ106="5",BJ106,0)</f>
        <v>0</v>
      </c>
      <c r="AB106" s="35">
        <f>IF(AQ106="1",BH106,0)</f>
        <v>0</v>
      </c>
      <c r="AC106" s="35">
        <f>IF(AQ106="1",BI106,0)</f>
        <v>7139</v>
      </c>
      <c r="AD106" s="35">
        <f>IF(AQ106="7",BH106,0)</f>
        <v>0</v>
      </c>
      <c r="AE106" s="35">
        <f>IF(AQ106="7",BI106,0)</f>
        <v>0</v>
      </c>
      <c r="AF106" s="35">
        <f>IF(AQ106="2",BH106,0)</f>
        <v>0</v>
      </c>
      <c r="AG106" s="35">
        <f>IF(AQ106="2",BI106,0)</f>
        <v>0</v>
      </c>
      <c r="AH106" s="35">
        <f>IF(AQ106="0",BJ106,0)</f>
        <v>0</v>
      </c>
      <c r="AI106" s="77" t="s">
        <v>59</v>
      </c>
      <c r="AJ106" s="64">
        <f>IF(AN106=0,L106,0)</f>
        <v>0</v>
      </c>
      <c r="AK106" s="64">
        <f>IF(AN106=15,L106,0)</f>
        <v>0</v>
      </c>
      <c r="AL106" s="64">
        <f>IF(AN106=21,L106,0)</f>
        <v>7139</v>
      </c>
      <c r="AN106" s="35">
        <v>21</v>
      </c>
      <c r="AO106" s="35">
        <f>I106*0</f>
        <v>0</v>
      </c>
      <c r="AP106" s="35">
        <f>I106*(1-0)</f>
        <v>11</v>
      </c>
      <c r="AQ106" s="78" t="s">
        <v>109</v>
      </c>
      <c r="AV106" s="35">
        <f>AW106+AX106</f>
        <v>7139</v>
      </c>
      <c r="AW106" s="35">
        <f>H106*AO106</f>
        <v>0</v>
      </c>
      <c r="AX106" s="35">
        <f>H106*AP106</f>
        <v>7139</v>
      </c>
      <c r="AY106" s="80" t="s">
        <v>1679</v>
      </c>
      <c r="AZ106" s="80" t="s">
        <v>1727</v>
      </c>
      <c r="BA106" s="77" t="s">
        <v>1772</v>
      </c>
      <c r="BC106" s="35">
        <f>AW106+AX106</f>
        <v>7139</v>
      </c>
      <c r="BD106" s="35">
        <f>I106/(100-BE106)*100</f>
        <v>11</v>
      </c>
      <c r="BE106" s="35">
        <v>0</v>
      </c>
      <c r="BF106" s="35">
        <f>106</f>
        <v>106</v>
      </c>
      <c r="BH106" s="64">
        <f>H106*AO106</f>
        <v>0</v>
      </c>
      <c r="BI106" s="64">
        <f>H106*AP106</f>
        <v>7139</v>
      </c>
      <c r="BJ106" s="64">
        <f>H106*I106</f>
        <v>7139</v>
      </c>
      <c r="BK106" s="64" t="s">
        <v>1790</v>
      </c>
      <c r="BL106" s="35">
        <v>94</v>
      </c>
    </row>
    <row r="107" spans="1:64">
      <c r="A107" s="47" t="s">
        <v>277</v>
      </c>
      <c r="B107" s="55" t="s">
        <v>59</v>
      </c>
      <c r="C107" s="55" t="s">
        <v>791</v>
      </c>
      <c r="D107" s="165" t="s">
        <v>1194</v>
      </c>
      <c r="E107" s="166"/>
      <c r="F107" s="166"/>
      <c r="G107" s="55" t="s">
        <v>1632</v>
      </c>
      <c r="H107" s="64">
        <v>649</v>
      </c>
      <c r="I107" s="64">
        <v>8</v>
      </c>
      <c r="J107" s="64">
        <f>H107*AO107</f>
        <v>0</v>
      </c>
      <c r="K107" s="64">
        <f>H107*AP107</f>
        <v>5192</v>
      </c>
      <c r="L107" s="64">
        <f>H107*I107</f>
        <v>5192</v>
      </c>
      <c r="M107" s="73" t="s">
        <v>1657</v>
      </c>
      <c r="N107" s="19"/>
      <c r="Z107" s="35">
        <f>IF(AQ107="5",BJ107,0)</f>
        <v>0</v>
      </c>
      <c r="AB107" s="35">
        <f>IF(AQ107="1",BH107,0)</f>
        <v>0</v>
      </c>
      <c r="AC107" s="35">
        <f>IF(AQ107="1",BI107,0)</f>
        <v>5192</v>
      </c>
      <c r="AD107" s="35">
        <f>IF(AQ107="7",BH107,0)</f>
        <v>0</v>
      </c>
      <c r="AE107" s="35">
        <f>IF(AQ107="7",BI107,0)</f>
        <v>0</v>
      </c>
      <c r="AF107" s="35">
        <f>IF(AQ107="2",BH107,0)</f>
        <v>0</v>
      </c>
      <c r="AG107" s="35">
        <f>IF(AQ107="2",BI107,0)</f>
        <v>0</v>
      </c>
      <c r="AH107" s="35">
        <f>IF(AQ107="0",BJ107,0)</f>
        <v>0</v>
      </c>
      <c r="AI107" s="77" t="s">
        <v>59</v>
      </c>
      <c r="AJ107" s="64">
        <f>IF(AN107=0,L107,0)</f>
        <v>0</v>
      </c>
      <c r="AK107" s="64">
        <f>IF(AN107=15,L107,0)</f>
        <v>0</v>
      </c>
      <c r="AL107" s="64">
        <f>IF(AN107=21,L107,0)</f>
        <v>5192</v>
      </c>
      <c r="AN107" s="35">
        <v>21</v>
      </c>
      <c r="AO107" s="35">
        <f>I107*0</f>
        <v>0</v>
      </c>
      <c r="AP107" s="35">
        <f>I107*(1-0)</f>
        <v>8</v>
      </c>
      <c r="AQ107" s="78" t="s">
        <v>109</v>
      </c>
      <c r="AV107" s="35">
        <f>AW107+AX107</f>
        <v>5192</v>
      </c>
      <c r="AW107" s="35">
        <f>H107*AO107</f>
        <v>0</v>
      </c>
      <c r="AX107" s="35">
        <f>H107*AP107</f>
        <v>5192</v>
      </c>
      <c r="AY107" s="80" t="s">
        <v>1679</v>
      </c>
      <c r="AZ107" s="80" t="s">
        <v>1727</v>
      </c>
      <c r="BA107" s="77" t="s">
        <v>1772</v>
      </c>
      <c r="BC107" s="35">
        <f>AW107+AX107</f>
        <v>5192</v>
      </c>
      <c r="BD107" s="35">
        <f>I107/(100-BE107)*100</f>
        <v>8</v>
      </c>
      <c r="BE107" s="35">
        <v>0</v>
      </c>
      <c r="BF107" s="35">
        <f>107</f>
        <v>107</v>
      </c>
      <c r="BH107" s="64">
        <f>H107*AO107</f>
        <v>0</v>
      </c>
      <c r="BI107" s="64">
        <f>H107*AP107</f>
        <v>5192</v>
      </c>
      <c r="BJ107" s="64">
        <f>H107*I107</f>
        <v>5192</v>
      </c>
      <c r="BK107" s="64" t="s">
        <v>1790</v>
      </c>
      <c r="BL107" s="35">
        <v>94</v>
      </c>
    </row>
    <row r="108" spans="1:64">
      <c r="A108" s="47" t="s">
        <v>105</v>
      </c>
      <c r="B108" s="55" t="s">
        <v>59</v>
      </c>
      <c r="C108" s="55" t="s">
        <v>792</v>
      </c>
      <c r="D108" s="165" t="s">
        <v>1195</v>
      </c>
      <c r="E108" s="166"/>
      <c r="F108" s="166"/>
      <c r="G108" s="55" t="s">
        <v>1634</v>
      </c>
      <c r="H108" s="64">
        <v>47.774479999999997</v>
      </c>
      <c r="I108" s="64">
        <v>270</v>
      </c>
      <c r="J108" s="64">
        <f>H108*AO108</f>
        <v>0</v>
      </c>
      <c r="K108" s="64">
        <f>H108*AP108</f>
        <v>12899.1096</v>
      </c>
      <c r="L108" s="64">
        <f>H108*I108</f>
        <v>12899.1096</v>
      </c>
      <c r="M108" s="73" t="s">
        <v>1657</v>
      </c>
      <c r="N108" s="19"/>
      <c r="Z108" s="35">
        <f>IF(AQ108="5",BJ108,0)</f>
        <v>12899.1096</v>
      </c>
      <c r="AB108" s="35">
        <f>IF(AQ108="1",BH108,0)</f>
        <v>0</v>
      </c>
      <c r="AC108" s="35">
        <f>IF(AQ108="1",BI108,0)</f>
        <v>0</v>
      </c>
      <c r="AD108" s="35">
        <f>IF(AQ108="7",BH108,0)</f>
        <v>0</v>
      </c>
      <c r="AE108" s="35">
        <f>IF(AQ108="7",BI108,0)</f>
        <v>0</v>
      </c>
      <c r="AF108" s="35">
        <f>IF(AQ108="2",BH108,0)</f>
        <v>0</v>
      </c>
      <c r="AG108" s="35">
        <f>IF(AQ108="2",BI108,0)</f>
        <v>0</v>
      </c>
      <c r="AH108" s="35">
        <f>IF(AQ108="0",BJ108,0)</f>
        <v>0</v>
      </c>
      <c r="AI108" s="77" t="s">
        <v>59</v>
      </c>
      <c r="AJ108" s="64">
        <f>IF(AN108=0,L108,0)</f>
        <v>0</v>
      </c>
      <c r="AK108" s="64">
        <f>IF(AN108=15,L108,0)</f>
        <v>0</v>
      </c>
      <c r="AL108" s="64">
        <f>IF(AN108=21,L108,0)</f>
        <v>12899.1096</v>
      </c>
      <c r="AN108" s="35">
        <v>21</v>
      </c>
      <c r="AO108" s="35">
        <f>I108*0</f>
        <v>0</v>
      </c>
      <c r="AP108" s="35">
        <f>I108*(1-0)</f>
        <v>270</v>
      </c>
      <c r="AQ108" s="78" t="s">
        <v>112</v>
      </c>
      <c r="AV108" s="35">
        <f>AW108+AX108</f>
        <v>12899.1096</v>
      </c>
      <c r="AW108" s="35">
        <f>H108*AO108</f>
        <v>0</v>
      </c>
      <c r="AX108" s="35">
        <f>H108*AP108</f>
        <v>12899.1096</v>
      </c>
      <c r="AY108" s="80" t="s">
        <v>1679</v>
      </c>
      <c r="AZ108" s="80" t="s">
        <v>1727</v>
      </c>
      <c r="BA108" s="77" t="s">
        <v>1772</v>
      </c>
      <c r="BC108" s="35">
        <f>AW108+AX108</f>
        <v>12899.1096</v>
      </c>
      <c r="BD108" s="35">
        <f>I108/(100-BE108)*100</f>
        <v>270</v>
      </c>
      <c r="BE108" s="35">
        <v>0</v>
      </c>
      <c r="BF108" s="35">
        <f>108</f>
        <v>108</v>
      </c>
      <c r="BH108" s="64">
        <f>H108*AO108</f>
        <v>0</v>
      </c>
      <c r="BI108" s="64">
        <f>H108*AP108</f>
        <v>12899.1096</v>
      </c>
      <c r="BJ108" s="64">
        <f>H108*I108</f>
        <v>12899.1096</v>
      </c>
      <c r="BK108" s="64" t="s">
        <v>1790</v>
      </c>
      <c r="BL108" s="35">
        <v>94</v>
      </c>
    </row>
    <row r="109" spans="1:64">
      <c r="A109" s="46"/>
      <c r="B109" s="54" t="s">
        <v>59</v>
      </c>
      <c r="C109" s="54" t="s">
        <v>141</v>
      </c>
      <c r="D109" s="163" t="s">
        <v>192</v>
      </c>
      <c r="E109" s="164"/>
      <c r="F109" s="164"/>
      <c r="G109" s="61" t="s">
        <v>57</v>
      </c>
      <c r="H109" s="61" t="s">
        <v>57</v>
      </c>
      <c r="I109" s="61" t="s">
        <v>57</v>
      </c>
      <c r="J109" s="83">
        <f>SUM(J110:J110)</f>
        <v>0</v>
      </c>
      <c r="K109" s="83">
        <f>SUM(K110:K110)</f>
        <v>1428</v>
      </c>
      <c r="L109" s="83">
        <f>SUM(L110:L110)</f>
        <v>1428</v>
      </c>
      <c r="M109" s="72"/>
      <c r="N109" s="19"/>
      <c r="AI109" s="77" t="s">
        <v>59</v>
      </c>
      <c r="AS109" s="83">
        <f>SUM(AJ110:AJ110)</f>
        <v>0</v>
      </c>
      <c r="AT109" s="83">
        <f>SUM(AK110:AK110)</f>
        <v>0</v>
      </c>
      <c r="AU109" s="83">
        <f>SUM(AL110:AL110)</f>
        <v>1428</v>
      </c>
    </row>
    <row r="110" spans="1:64">
      <c r="A110" s="47" t="s">
        <v>106</v>
      </c>
      <c r="B110" s="55" t="s">
        <v>59</v>
      </c>
      <c r="C110" s="55" t="s">
        <v>793</v>
      </c>
      <c r="D110" s="165" t="s">
        <v>1196</v>
      </c>
      <c r="E110" s="166"/>
      <c r="F110" s="166"/>
      <c r="G110" s="55" t="s">
        <v>1631</v>
      </c>
      <c r="H110" s="64">
        <v>6</v>
      </c>
      <c r="I110" s="64">
        <v>238</v>
      </c>
      <c r="J110" s="64">
        <f>H110*AO110</f>
        <v>0</v>
      </c>
      <c r="K110" s="64">
        <f>H110*AP110</f>
        <v>1428</v>
      </c>
      <c r="L110" s="64">
        <f>H110*I110</f>
        <v>1428</v>
      </c>
      <c r="M110" s="73" t="s">
        <v>1658</v>
      </c>
      <c r="N110" s="19"/>
      <c r="Z110" s="35">
        <f>IF(AQ110="5",BJ110,0)</f>
        <v>0</v>
      </c>
      <c r="AB110" s="35">
        <f>IF(AQ110="1",BH110,0)</f>
        <v>0</v>
      </c>
      <c r="AC110" s="35">
        <f>IF(AQ110="1",BI110,0)</f>
        <v>1428</v>
      </c>
      <c r="AD110" s="35">
        <f>IF(AQ110="7",BH110,0)</f>
        <v>0</v>
      </c>
      <c r="AE110" s="35">
        <f>IF(AQ110="7",BI110,0)</f>
        <v>0</v>
      </c>
      <c r="AF110" s="35">
        <f>IF(AQ110="2",BH110,0)</f>
        <v>0</v>
      </c>
      <c r="AG110" s="35">
        <f>IF(AQ110="2",BI110,0)</f>
        <v>0</v>
      </c>
      <c r="AH110" s="35">
        <f>IF(AQ110="0",BJ110,0)</f>
        <v>0</v>
      </c>
      <c r="AI110" s="77" t="s">
        <v>59</v>
      </c>
      <c r="AJ110" s="64">
        <f>IF(AN110=0,L110,0)</f>
        <v>0</v>
      </c>
      <c r="AK110" s="64">
        <f>IF(AN110=15,L110,0)</f>
        <v>0</v>
      </c>
      <c r="AL110" s="64">
        <f>IF(AN110=21,L110,0)</f>
        <v>1428</v>
      </c>
      <c r="AN110" s="35">
        <v>21</v>
      </c>
      <c r="AO110" s="35">
        <f>I110*0</f>
        <v>0</v>
      </c>
      <c r="AP110" s="35">
        <f>I110*(1-0)</f>
        <v>238</v>
      </c>
      <c r="AQ110" s="78" t="s">
        <v>109</v>
      </c>
      <c r="AV110" s="35">
        <f>AW110+AX110</f>
        <v>1428</v>
      </c>
      <c r="AW110" s="35">
        <f>H110*AO110</f>
        <v>0</v>
      </c>
      <c r="AX110" s="35">
        <f>H110*AP110</f>
        <v>1428</v>
      </c>
      <c r="AY110" s="80" t="s">
        <v>1680</v>
      </c>
      <c r="AZ110" s="80" t="s">
        <v>1727</v>
      </c>
      <c r="BA110" s="77" t="s">
        <v>1772</v>
      </c>
      <c r="BC110" s="35">
        <f>AW110+AX110</f>
        <v>1428</v>
      </c>
      <c r="BD110" s="35">
        <f>I110/(100-BE110)*100</f>
        <v>238</v>
      </c>
      <c r="BE110" s="35">
        <v>0</v>
      </c>
      <c r="BF110" s="35">
        <f>110</f>
        <v>110</v>
      </c>
      <c r="BH110" s="64">
        <f>H110*AO110</f>
        <v>0</v>
      </c>
      <c r="BI110" s="64">
        <f>H110*AP110</f>
        <v>1428</v>
      </c>
      <c r="BJ110" s="64">
        <f>H110*I110</f>
        <v>1428</v>
      </c>
      <c r="BK110" s="64" t="s">
        <v>1790</v>
      </c>
      <c r="BL110" s="35">
        <v>95</v>
      </c>
    </row>
    <row r="111" spans="1:64">
      <c r="A111" s="46"/>
      <c r="B111" s="54" t="s">
        <v>59</v>
      </c>
      <c r="C111" s="54" t="s">
        <v>142</v>
      </c>
      <c r="D111" s="163" t="s">
        <v>193</v>
      </c>
      <c r="E111" s="164"/>
      <c r="F111" s="164"/>
      <c r="G111" s="61" t="s">
        <v>57</v>
      </c>
      <c r="H111" s="61" t="s">
        <v>57</v>
      </c>
      <c r="I111" s="61" t="s">
        <v>57</v>
      </c>
      <c r="J111" s="83">
        <f>SUM(J112:J113)</f>
        <v>0</v>
      </c>
      <c r="K111" s="83">
        <f>SUM(K112:K113)</f>
        <v>186.82749999999999</v>
      </c>
      <c r="L111" s="83">
        <f>SUM(L112:L113)</f>
        <v>186.82749999999999</v>
      </c>
      <c r="M111" s="72"/>
      <c r="N111" s="19"/>
      <c r="AI111" s="77" t="s">
        <v>59</v>
      </c>
      <c r="AS111" s="83">
        <f>SUM(AJ112:AJ113)</f>
        <v>0</v>
      </c>
      <c r="AT111" s="83">
        <f>SUM(AK112:AK113)</f>
        <v>0</v>
      </c>
      <c r="AU111" s="83">
        <f>SUM(AL112:AL113)</f>
        <v>186.82749999999999</v>
      </c>
    </row>
    <row r="112" spans="1:64">
      <c r="A112" s="47" t="s">
        <v>107</v>
      </c>
      <c r="B112" s="55" t="s">
        <v>59</v>
      </c>
      <c r="C112" s="55" t="s">
        <v>794</v>
      </c>
      <c r="D112" s="165" t="s">
        <v>1197</v>
      </c>
      <c r="E112" s="166"/>
      <c r="F112" s="166"/>
      <c r="G112" s="55" t="s">
        <v>1632</v>
      </c>
      <c r="H112" s="64">
        <v>1.7324999999999999</v>
      </c>
      <c r="I112" s="64">
        <v>87</v>
      </c>
      <c r="J112" s="64">
        <f>H112*AO112</f>
        <v>0</v>
      </c>
      <c r="K112" s="64">
        <f>H112*AP112</f>
        <v>150.72749999999999</v>
      </c>
      <c r="L112" s="64">
        <f>H112*I112</f>
        <v>150.72749999999999</v>
      </c>
      <c r="M112" s="73" t="s">
        <v>1657</v>
      </c>
      <c r="N112" s="19"/>
      <c r="Z112" s="35">
        <f>IF(AQ112="5",BJ112,0)</f>
        <v>0</v>
      </c>
      <c r="AB112" s="35">
        <f>IF(AQ112="1",BH112,0)</f>
        <v>0</v>
      </c>
      <c r="AC112" s="35">
        <f>IF(AQ112="1",BI112,0)</f>
        <v>150.72749999999999</v>
      </c>
      <c r="AD112" s="35">
        <f>IF(AQ112="7",BH112,0)</f>
        <v>0</v>
      </c>
      <c r="AE112" s="35">
        <f>IF(AQ112="7",BI112,0)</f>
        <v>0</v>
      </c>
      <c r="AF112" s="35">
        <f>IF(AQ112="2",BH112,0)</f>
        <v>0</v>
      </c>
      <c r="AG112" s="35">
        <f>IF(AQ112="2",BI112,0)</f>
        <v>0</v>
      </c>
      <c r="AH112" s="35">
        <f>IF(AQ112="0",BJ112,0)</f>
        <v>0</v>
      </c>
      <c r="AI112" s="77" t="s">
        <v>59</v>
      </c>
      <c r="AJ112" s="64">
        <f>IF(AN112=0,L112,0)</f>
        <v>0</v>
      </c>
      <c r="AK112" s="64">
        <f>IF(AN112=15,L112,0)</f>
        <v>0</v>
      </c>
      <c r="AL112" s="64">
        <f>IF(AN112=21,L112,0)</f>
        <v>150.72749999999999</v>
      </c>
      <c r="AN112" s="35">
        <v>21</v>
      </c>
      <c r="AO112" s="35">
        <f>I112*0</f>
        <v>0</v>
      </c>
      <c r="AP112" s="35">
        <f>I112*(1-0)</f>
        <v>87</v>
      </c>
      <c r="AQ112" s="78" t="s">
        <v>109</v>
      </c>
      <c r="AV112" s="35">
        <f>AW112+AX112</f>
        <v>150.72749999999999</v>
      </c>
      <c r="AW112" s="35">
        <f>H112*AO112</f>
        <v>0</v>
      </c>
      <c r="AX112" s="35">
        <f>H112*AP112</f>
        <v>150.72749999999999</v>
      </c>
      <c r="AY112" s="80" t="s">
        <v>1681</v>
      </c>
      <c r="AZ112" s="80" t="s">
        <v>1727</v>
      </c>
      <c r="BA112" s="77" t="s">
        <v>1772</v>
      </c>
      <c r="BC112" s="35">
        <f>AW112+AX112</f>
        <v>150.72749999999999</v>
      </c>
      <c r="BD112" s="35">
        <f>I112/(100-BE112)*100</f>
        <v>87</v>
      </c>
      <c r="BE112" s="35">
        <v>0</v>
      </c>
      <c r="BF112" s="35">
        <f>112</f>
        <v>112</v>
      </c>
      <c r="BH112" s="64">
        <f>H112*AO112</f>
        <v>0</v>
      </c>
      <c r="BI112" s="64">
        <f>H112*AP112</f>
        <v>150.72749999999999</v>
      </c>
      <c r="BJ112" s="64">
        <f>H112*I112</f>
        <v>150.72749999999999</v>
      </c>
      <c r="BK112" s="64" t="s">
        <v>1790</v>
      </c>
      <c r="BL112" s="35">
        <v>96</v>
      </c>
    </row>
    <row r="113" spans="1:64">
      <c r="A113" s="47" t="s">
        <v>108</v>
      </c>
      <c r="B113" s="55" t="s">
        <v>59</v>
      </c>
      <c r="C113" s="55" t="s">
        <v>795</v>
      </c>
      <c r="D113" s="165" t="s">
        <v>1198</v>
      </c>
      <c r="E113" s="166"/>
      <c r="F113" s="166"/>
      <c r="G113" s="55" t="s">
        <v>1633</v>
      </c>
      <c r="H113" s="64">
        <v>1.9</v>
      </c>
      <c r="I113" s="64">
        <v>19</v>
      </c>
      <c r="J113" s="64">
        <f>H113*AO113</f>
        <v>0</v>
      </c>
      <c r="K113" s="64">
        <f>H113*AP113</f>
        <v>36.1</v>
      </c>
      <c r="L113" s="64">
        <f>H113*I113</f>
        <v>36.1</v>
      </c>
      <c r="M113" s="73" t="s">
        <v>1657</v>
      </c>
      <c r="N113" s="19"/>
      <c r="Z113" s="35">
        <f>IF(AQ113="5",BJ113,0)</f>
        <v>0</v>
      </c>
      <c r="AB113" s="35">
        <f>IF(AQ113="1",BH113,0)</f>
        <v>0</v>
      </c>
      <c r="AC113" s="35">
        <f>IF(AQ113="1",BI113,0)</f>
        <v>36.1</v>
      </c>
      <c r="AD113" s="35">
        <f>IF(AQ113="7",BH113,0)</f>
        <v>0</v>
      </c>
      <c r="AE113" s="35">
        <f>IF(AQ113="7",BI113,0)</f>
        <v>0</v>
      </c>
      <c r="AF113" s="35">
        <f>IF(AQ113="2",BH113,0)</f>
        <v>0</v>
      </c>
      <c r="AG113" s="35">
        <f>IF(AQ113="2",BI113,0)</f>
        <v>0</v>
      </c>
      <c r="AH113" s="35">
        <f>IF(AQ113="0",BJ113,0)</f>
        <v>0</v>
      </c>
      <c r="AI113" s="77" t="s">
        <v>59</v>
      </c>
      <c r="AJ113" s="64">
        <f>IF(AN113=0,L113,0)</f>
        <v>0</v>
      </c>
      <c r="AK113" s="64">
        <f>IF(AN113=15,L113,0)</f>
        <v>0</v>
      </c>
      <c r="AL113" s="64">
        <f>IF(AN113=21,L113,0)</f>
        <v>36.1</v>
      </c>
      <c r="AN113" s="35">
        <v>21</v>
      </c>
      <c r="AO113" s="35">
        <f>I113*0</f>
        <v>0</v>
      </c>
      <c r="AP113" s="35">
        <f>I113*(1-0)</f>
        <v>19</v>
      </c>
      <c r="AQ113" s="78" t="s">
        <v>109</v>
      </c>
      <c r="AV113" s="35">
        <f>AW113+AX113</f>
        <v>36.1</v>
      </c>
      <c r="AW113" s="35">
        <f>H113*AO113</f>
        <v>0</v>
      </c>
      <c r="AX113" s="35">
        <f>H113*AP113</f>
        <v>36.1</v>
      </c>
      <c r="AY113" s="80" t="s">
        <v>1681</v>
      </c>
      <c r="AZ113" s="80" t="s">
        <v>1727</v>
      </c>
      <c r="BA113" s="77" t="s">
        <v>1772</v>
      </c>
      <c r="BC113" s="35">
        <f>AW113+AX113</f>
        <v>36.1</v>
      </c>
      <c r="BD113" s="35">
        <f>I113/(100-BE113)*100</f>
        <v>19</v>
      </c>
      <c r="BE113" s="35">
        <v>0</v>
      </c>
      <c r="BF113" s="35">
        <f>113</f>
        <v>113</v>
      </c>
      <c r="BH113" s="64">
        <f>H113*AO113</f>
        <v>0</v>
      </c>
      <c r="BI113" s="64">
        <f>H113*AP113</f>
        <v>36.1</v>
      </c>
      <c r="BJ113" s="64">
        <f>H113*I113</f>
        <v>36.1</v>
      </c>
      <c r="BK113" s="64" t="s">
        <v>1790</v>
      </c>
      <c r="BL113" s="35">
        <v>96</v>
      </c>
    </row>
    <row r="114" spans="1:64">
      <c r="A114" s="46"/>
      <c r="B114" s="54" t="s">
        <v>59</v>
      </c>
      <c r="C114" s="54" t="s">
        <v>143</v>
      </c>
      <c r="D114" s="163" t="s">
        <v>194</v>
      </c>
      <c r="E114" s="164"/>
      <c r="F114" s="164"/>
      <c r="G114" s="61" t="s">
        <v>57</v>
      </c>
      <c r="H114" s="61" t="s">
        <v>57</v>
      </c>
      <c r="I114" s="61" t="s">
        <v>57</v>
      </c>
      <c r="J114" s="83">
        <f>SUM(J115:J116)</f>
        <v>0</v>
      </c>
      <c r="K114" s="83">
        <f>SUM(K115:K116)</f>
        <v>6193.3</v>
      </c>
      <c r="L114" s="83">
        <f>SUM(L115:L116)</f>
        <v>6193.3</v>
      </c>
      <c r="M114" s="72"/>
      <c r="N114" s="19"/>
      <c r="AI114" s="77" t="s">
        <v>59</v>
      </c>
      <c r="AS114" s="83">
        <f>SUM(AJ115:AJ116)</f>
        <v>0</v>
      </c>
      <c r="AT114" s="83">
        <f>SUM(AK115:AK116)</f>
        <v>0</v>
      </c>
      <c r="AU114" s="83">
        <f>SUM(AL115:AL116)</f>
        <v>6193.3</v>
      </c>
    </row>
    <row r="115" spans="1:64">
      <c r="A115" s="47" t="s">
        <v>278</v>
      </c>
      <c r="B115" s="55" t="s">
        <v>59</v>
      </c>
      <c r="C115" s="55" t="s">
        <v>796</v>
      </c>
      <c r="D115" s="165" t="s">
        <v>1199</v>
      </c>
      <c r="E115" s="166"/>
      <c r="F115" s="166"/>
      <c r="G115" s="55" t="s">
        <v>1631</v>
      </c>
      <c r="H115" s="64">
        <v>1</v>
      </c>
      <c r="I115" s="64">
        <v>100</v>
      </c>
      <c r="J115" s="64">
        <f>H115*AO115</f>
        <v>0</v>
      </c>
      <c r="K115" s="64">
        <f>H115*AP115</f>
        <v>100</v>
      </c>
      <c r="L115" s="64">
        <f>H115*I115</f>
        <v>100</v>
      </c>
      <c r="M115" s="73" t="s">
        <v>1657</v>
      </c>
      <c r="N115" s="19"/>
      <c r="Z115" s="35">
        <f>IF(AQ115="5",BJ115,0)</f>
        <v>0</v>
      </c>
      <c r="AB115" s="35">
        <f>IF(AQ115="1",BH115,0)</f>
        <v>0</v>
      </c>
      <c r="AC115" s="35">
        <f>IF(AQ115="1",BI115,0)</f>
        <v>100</v>
      </c>
      <c r="AD115" s="35">
        <f>IF(AQ115="7",BH115,0)</f>
        <v>0</v>
      </c>
      <c r="AE115" s="35">
        <f>IF(AQ115="7",BI115,0)</f>
        <v>0</v>
      </c>
      <c r="AF115" s="35">
        <f>IF(AQ115="2",BH115,0)</f>
        <v>0</v>
      </c>
      <c r="AG115" s="35">
        <f>IF(AQ115="2",BI115,0)</f>
        <v>0</v>
      </c>
      <c r="AH115" s="35">
        <f>IF(AQ115="0",BJ115,0)</f>
        <v>0</v>
      </c>
      <c r="AI115" s="77" t="s">
        <v>59</v>
      </c>
      <c r="AJ115" s="64">
        <f>IF(AN115=0,L115,0)</f>
        <v>0</v>
      </c>
      <c r="AK115" s="64">
        <f>IF(AN115=15,L115,0)</f>
        <v>0</v>
      </c>
      <c r="AL115" s="64">
        <f>IF(AN115=21,L115,0)</f>
        <v>100</v>
      </c>
      <c r="AN115" s="35">
        <v>21</v>
      </c>
      <c r="AO115" s="35">
        <f>I115*0</f>
        <v>0</v>
      </c>
      <c r="AP115" s="35">
        <f>I115*(1-0)</f>
        <v>100</v>
      </c>
      <c r="AQ115" s="78" t="s">
        <v>109</v>
      </c>
      <c r="AV115" s="35">
        <f>AW115+AX115</f>
        <v>100</v>
      </c>
      <c r="AW115" s="35">
        <f>H115*AO115</f>
        <v>0</v>
      </c>
      <c r="AX115" s="35">
        <f>H115*AP115</f>
        <v>100</v>
      </c>
      <c r="AY115" s="80" t="s">
        <v>1682</v>
      </c>
      <c r="AZ115" s="80" t="s">
        <v>1727</v>
      </c>
      <c r="BA115" s="77" t="s">
        <v>1772</v>
      </c>
      <c r="BC115" s="35">
        <f>AW115+AX115</f>
        <v>100</v>
      </c>
      <c r="BD115" s="35">
        <f>I115/(100-BE115)*100</f>
        <v>100</v>
      </c>
      <c r="BE115" s="35">
        <v>0</v>
      </c>
      <c r="BF115" s="35">
        <f>115</f>
        <v>115</v>
      </c>
      <c r="BH115" s="64">
        <f>H115*AO115</f>
        <v>0</v>
      </c>
      <c r="BI115" s="64">
        <f>H115*AP115</f>
        <v>100</v>
      </c>
      <c r="BJ115" s="64">
        <f>H115*I115</f>
        <v>100</v>
      </c>
      <c r="BK115" s="64" t="s">
        <v>1790</v>
      </c>
      <c r="BL115" s="35">
        <v>97</v>
      </c>
    </row>
    <row r="116" spans="1:64">
      <c r="A116" s="47" t="s">
        <v>101</v>
      </c>
      <c r="B116" s="55" t="s">
        <v>59</v>
      </c>
      <c r="C116" s="55" t="s">
        <v>797</v>
      </c>
      <c r="D116" s="165" t="s">
        <v>1200</v>
      </c>
      <c r="E116" s="166"/>
      <c r="F116" s="166"/>
      <c r="G116" s="55" t="s">
        <v>1632</v>
      </c>
      <c r="H116" s="64">
        <v>1218.6600000000001</v>
      </c>
      <c r="I116" s="64">
        <v>5</v>
      </c>
      <c r="J116" s="64">
        <f>H116*AO116</f>
        <v>0</v>
      </c>
      <c r="K116" s="64">
        <f>H116*AP116</f>
        <v>6093.3</v>
      </c>
      <c r="L116" s="64">
        <f>H116*I116</f>
        <v>6093.3</v>
      </c>
      <c r="M116" s="73" t="s">
        <v>1657</v>
      </c>
      <c r="N116" s="19"/>
      <c r="Z116" s="35">
        <f>IF(AQ116="5",BJ116,0)</f>
        <v>0</v>
      </c>
      <c r="AB116" s="35">
        <f>IF(AQ116="1",BH116,0)</f>
        <v>0</v>
      </c>
      <c r="AC116" s="35">
        <f>IF(AQ116="1",BI116,0)</f>
        <v>6093.3</v>
      </c>
      <c r="AD116" s="35">
        <f>IF(AQ116="7",BH116,0)</f>
        <v>0</v>
      </c>
      <c r="AE116" s="35">
        <f>IF(AQ116="7",BI116,0)</f>
        <v>0</v>
      </c>
      <c r="AF116" s="35">
        <f>IF(AQ116="2",BH116,0)</f>
        <v>0</v>
      </c>
      <c r="AG116" s="35">
        <f>IF(AQ116="2",BI116,0)</f>
        <v>0</v>
      </c>
      <c r="AH116" s="35">
        <f>IF(AQ116="0",BJ116,0)</f>
        <v>0</v>
      </c>
      <c r="AI116" s="77" t="s">
        <v>59</v>
      </c>
      <c r="AJ116" s="64">
        <f>IF(AN116=0,L116,0)</f>
        <v>0</v>
      </c>
      <c r="AK116" s="64">
        <f>IF(AN116=15,L116,0)</f>
        <v>0</v>
      </c>
      <c r="AL116" s="64">
        <f>IF(AN116=21,L116,0)</f>
        <v>6093.3</v>
      </c>
      <c r="AN116" s="35">
        <v>21</v>
      </c>
      <c r="AO116" s="35">
        <f>I116*0</f>
        <v>0</v>
      </c>
      <c r="AP116" s="35">
        <f>I116*(1-0)</f>
        <v>5</v>
      </c>
      <c r="AQ116" s="78" t="s">
        <v>109</v>
      </c>
      <c r="AV116" s="35">
        <f>AW116+AX116</f>
        <v>6093.3</v>
      </c>
      <c r="AW116" s="35">
        <f>H116*AO116</f>
        <v>0</v>
      </c>
      <c r="AX116" s="35">
        <f>H116*AP116</f>
        <v>6093.3</v>
      </c>
      <c r="AY116" s="80" t="s">
        <v>1682</v>
      </c>
      <c r="AZ116" s="80" t="s">
        <v>1727</v>
      </c>
      <c r="BA116" s="77" t="s">
        <v>1772</v>
      </c>
      <c r="BC116" s="35">
        <f>AW116+AX116</f>
        <v>6093.3</v>
      </c>
      <c r="BD116" s="35">
        <f>I116/(100-BE116)*100</f>
        <v>5</v>
      </c>
      <c r="BE116" s="35">
        <v>0</v>
      </c>
      <c r="BF116" s="35">
        <f>116</f>
        <v>116</v>
      </c>
      <c r="BH116" s="64">
        <f>H116*AO116</f>
        <v>0</v>
      </c>
      <c r="BI116" s="64">
        <f>H116*AP116</f>
        <v>6093.3</v>
      </c>
      <c r="BJ116" s="64">
        <f>H116*I116</f>
        <v>6093.3</v>
      </c>
      <c r="BK116" s="64" t="s">
        <v>1790</v>
      </c>
      <c r="BL116" s="35">
        <v>97</v>
      </c>
    </row>
    <row r="117" spans="1:64">
      <c r="A117" s="46"/>
      <c r="B117" s="54" t="s">
        <v>59</v>
      </c>
      <c r="C117" s="54" t="s">
        <v>144</v>
      </c>
      <c r="D117" s="163" t="s">
        <v>195</v>
      </c>
      <c r="E117" s="164"/>
      <c r="F117" s="164"/>
      <c r="G117" s="61" t="s">
        <v>57</v>
      </c>
      <c r="H117" s="61" t="s">
        <v>57</v>
      </c>
      <c r="I117" s="61" t="s">
        <v>57</v>
      </c>
      <c r="J117" s="83">
        <f>SUM(J118:J120)</f>
        <v>8400</v>
      </c>
      <c r="K117" s="83">
        <f>SUM(K118:K120)</f>
        <v>8640</v>
      </c>
      <c r="L117" s="83">
        <f>SUM(L118:L120)</f>
        <v>17040</v>
      </c>
      <c r="M117" s="72"/>
      <c r="N117" s="19"/>
      <c r="AI117" s="77" t="s">
        <v>59</v>
      </c>
      <c r="AS117" s="83">
        <f>SUM(AJ118:AJ120)</f>
        <v>0</v>
      </c>
      <c r="AT117" s="83">
        <f>SUM(AK118:AK120)</f>
        <v>0</v>
      </c>
      <c r="AU117" s="83">
        <f>SUM(AL118:AL120)</f>
        <v>17040</v>
      </c>
    </row>
    <row r="118" spans="1:64">
      <c r="A118" s="47" t="s">
        <v>102</v>
      </c>
      <c r="B118" s="55" t="s">
        <v>59</v>
      </c>
      <c r="C118" s="55" t="s">
        <v>767</v>
      </c>
      <c r="D118" s="165" t="s">
        <v>1201</v>
      </c>
      <c r="E118" s="166"/>
      <c r="F118" s="166"/>
      <c r="G118" s="55" t="s">
        <v>1637</v>
      </c>
      <c r="H118" s="64">
        <v>400</v>
      </c>
      <c r="I118" s="64">
        <v>7.2</v>
      </c>
      <c r="J118" s="64">
        <f>H118*AO118</f>
        <v>0</v>
      </c>
      <c r="K118" s="64">
        <f>H118*AP118</f>
        <v>2880</v>
      </c>
      <c r="L118" s="64">
        <f>H118*I118</f>
        <v>2880</v>
      </c>
      <c r="M118" s="73" t="s">
        <v>1658</v>
      </c>
      <c r="N118" s="19"/>
      <c r="Z118" s="35">
        <f>IF(AQ118="5",BJ118,0)</f>
        <v>0</v>
      </c>
      <c r="AB118" s="35">
        <f>IF(AQ118="1",BH118,0)</f>
        <v>0</v>
      </c>
      <c r="AC118" s="35">
        <f>IF(AQ118="1",BI118,0)</f>
        <v>0</v>
      </c>
      <c r="AD118" s="35">
        <f>IF(AQ118="7",BH118,0)</f>
        <v>0</v>
      </c>
      <c r="AE118" s="35">
        <f>IF(AQ118="7",BI118,0)</f>
        <v>0</v>
      </c>
      <c r="AF118" s="35">
        <f>IF(AQ118="2",BH118,0)</f>
        <v>0</v>
      </c>
      <c r="AG118" s="35">
        <f>IF(AQ118="2",BI118,0)</f>
        <v>2880</v>
      </c>
      <c r="AH118" s="35">
        <f>IF(AQ118="0",BJ118,0)</f>
        <v>0</v>
      </c>
      <c r="AI118" s="77" t="s">
        <v>59</v>
      </c>
      <c r="AJ118" s="64">
        <f>IF(AN118=0,L118,0)</f>
        <v>0</v>
      </c>
      <c r="AK118" s="64">
        <f>IF(AN118=15,L118,0)</f>
        <v>0</v>
      </c>
      <c r="AL118" s="64">
        <f>IF(AN118=21,L118,0)</f>
        <v>2880</v>
      </c>
      <c r="AN118" s="35">
        <v>21</v>
      </c>
      <c r="AO118" s="35">
        <f>I118*0</f>
        <v>0</v>
      </c>
      <c r="AP118" s="35">
        <f>I118*(1-0)</f>
        <v>7.2</v>
      </c>
      <c r="AQ118" s="78" t="s">
        <v>110</v>
      </c>
      <c r="AV118" s="35">
        <f>AW118+AX118</f>
        <v>2880</v>
      </c>
      <c r="AW118" s="35">
        <f>H118*AO118</f>
        <v>0</v>
      </c>
      <c r="AX118" s="35">
        <f>H118*AP118</f>
        <v>2880</v>
      </c>
      <c r="AY118" s="80" t="s">
        <v>1683</v>
      </c>
      <c r="AZ118" s="80" t="s">
        <v>1727</v>
      </c>
      <c r="BA118" s="77" t="s">
        <v>1772</v>
      </c>
      <c r="BC118" s="35">
        <f>AW118+AX118</f>
        <v>2880</v>
      </c>
      <c r="BD118" s="35">
        <f>I118/(100-BE118)*100</f>
        <v>7.2000000000000011</v>
      </c>
      <c r="BE118" s="35">
        <v>0</v>
      </c>
      <c r="BF118" s="35">
        <f>118</f>
        <v>118</v>
      </c>
      <c r="BH118" s="64">
        <f>H118*AO118</f>
        <v>0</v>
      </c>
      <c r="BI118" s="64">
        <f>H118*AP118</f>
        <v>2880</v>
      </c>
      <c r="BJ118" s="64">
        <f>H118*I118</f>
        <v>2880</v>
      </c>
      <c r="BK118" s="64" t="s">
        <v>1790</v>
      </c>
      <c r="BL118" s="35" t="s">
        <v>144</v>
      </c>
    </row>
    <row r="119" spans="1:64">
      <c r="A119" s="47" t="s">
        <v>103</v>
      </c>
      <c r="B119" s="55" t="s">
        <v>59</v>
      </c>
      <c r="C119" s="55" t="s">
        <v>798</v>
      </c>
      <c r="D119" s="165" t="s">
        <v>1202</v>
      </c>
      <c r="E119" s="166"/>
      <c r="F119" s="166"/>
      <c r="G119" s="55" t="s">
        <v>1637</v>
      </c>
      <c r="H119" s="64">
        <v>400</v>
      </c>
      <c r="I119" s="64">
        <v>14.4</v>
      </c>
      <c r="J119" s="64">
        <f>H119*AO119</f>
        <v>0</v>
      </c>
      <c r="K119" s="64">
        <f>H119*AP119</f>
        <v>5760</v>
      </c>
      <c r="L119" s="64">
        <f>H119*I119</f>
        <v>5760</v>
      </c>
      <c r="M119" s="73" t="s">
        <v>1657</v>
      </c>
      <c r="N119" s="19"/>
      <c r="Z119" s="35">
        <f>IF(AQ119="5",BJ119,0)</f>
        <v>0</v>
      </c>
      <c r="AB119" s="35">
        <f>IF(AQ119="1",BH119,0)</f>
        <v>0</v>
      </c>
      <c r="AC119" s="35">
        <f>IF(AQ119="1",BI119,0)</f>
        <v>0</v>
      </c>
      <c r="AD119" s="35">
        <f>IF(AQ119="7",BH119,0)</f>
        <v>0</v>
      </c>
      <c r="AE119" s="35">
        <f>IF(AQ119="7",BI119,0)</f>
        <v>0</v>
      </c>
      <c r="AF119" s="35">
        <f>IF(AQ119="2",BH119,0)</f>
        <v>0</v>
      </c>
      <c r="AG119" s="35">
        <f>IF(AQ119="2",BI119,0)</f>
        <v>5760</v>
      </c>
      <c r="AH119" s="35">
        <f>IF(AQ119="0",BJ119,0)</f>
        <v>0</v>
      </c>
      <c r="AI119" s="77" t="s">
        <v>59</v>
      </c>
      <c r="AJ119" s="64">
        <f>IF(AN119=0,L119,0)</f>
        <v>0</v>
      </c>
      <c r="AK119" s="64">
        <f>IF(AN119=15,L119,0)</f>
        <v>0</v>
      </c>
      <c r="AL119" s="64">
        <f>IF(AN119=21,L119,0)</f>
        <v>5760</v>
      </c>
      <c r="AN119" s="35">
        <v>21</v>
      </c>
      <c r="AO119" s="35">
        <f>I119*0</f>
        <v>0</v>
      </c>
      <c r="AP119" s="35">
        <f>I119*(1-0)</f>
        <v>14.4</v>
      </c>
      <c r="AQ119" s="78" t="s">
        <v>110</v>
      </c>
      <c r="AV119" s="35">
        <f>AW119+AX119</f>
        <v>5760</v>
      </c>
      <c r="AW119" s="35">
        <f>H119*AO119</f>
        <v>0</v>
      </c>
      <c r="AX119" s="35">
        <f>H119*AP119</f>
        <v>5760</v>
      </c>
      <c r="AY119" s="80" t="s">
        <v>1683</v>
      </c>
      <c r="AZ119" s="80" t="s">
        <v>1727</v>
      </c>
      <c r="BA119" s="77" t="s">
        <v>1772</v>
      </c>
      <c r="BC119" s="35">
        <f>AW119+AX119</f>
        <v>5760</v>
      </c>
      <c r="BD119" s="35">
        <f>I119/(100-BE119)*100</f>
        <v>14.400000000000002</v>
      </c>
      <c r="BE119" s="35">
        <v>0</v>
      </c>
      <c r="BF119" s="35">
        <f>119</f>
        <v>119</v>
      </c>
      <c r="BH119" s="64">
        <f>H119*AO119</f>
        <v>0</v>
      </c>
      <c r="BI119" s="64">
        <f>H119*AP119</f>
        <v>5760</v>
      </c>
      <c r="BJ119" s="64">
        <f>H119*I119</f>
        <v>5760</v>
      </c>
      <c r="BK119" s="64" t="s">
        <v>1790</v>
      </c>
      <c r="BL119" s="35" t="s">
        <v>144</v>
      </c>
    </row>
    <row r="120" spans="1:64">
      <c r="A120" s="48" t="s">
        <v>279</v>
      </c>
      <c r="B120" s="56" t="s">
        <v>59</v>
      </c>
      <c r="C120" s="56" t="s">
        <v>799</v>
      </c>
      <c r="D120" s="170" t="s">
        <v>1203</v>
      </c>
      <c r="E120" s="171"/>
      <c r="F120" s="171"/>
      <c r="G120" s="56" t="s">
        <v>1632</v>
      </c>
      <c r="H120" s="65">
        <v>24</v>
      </c>
      <c r="I120" s="65">
        <v>350</v>
      </c>
      <c r="J120" s="65">
        <f>H120*AO120</f>
        <v>8400</v>
      </c>
      <c r="K120" s="65">
        <f>H120*AP120</f>
        <v>0</v>
      </c>
      <c r="L120" s="65">
        <f>H120*I120</f>
        <v>8400</v>
      </c>
      <c r="M120" s="74" t="s">
        <v>1657</v>
      </c>
      <c r="N120" s="19"/>
      <c r="Z120" s="35">
        <f>IF(AQ120="5",BJ120,0)</f>
        <v>0</v>
      </c>
      <c r="AB120" s="35">
        <f>IF(AQ120="1",BH120,0)</f>
        <v>8400</v>
      </c>
      <c r="AC120" s="35">
        <f>IF(AQ120="1",BI120,0)</f>
        <v>0</v>
      </c>
      <c r="AD120" s="35">
        <f>IF(AQ120="7",BH120,0)</f>
        <v>0</v>
      </c>
      <c r="AE120" s="35">
        <f>IF(AQ120="7",BI120,0)</f>
        <v>0</v>
      </c>
      <c r="AF120" s="35">
        <f>IF(AQ120="2",BH120,0)</f>
        <v>0</v>
      </c>
      <c r="AG120" s="35">
        <f>IF(AQ120="2",BI120,0)</f>
        <v>0</v>
      </c>
      <c r="AH120" s="35">
        <f>IF(AQ120="0",BJ120,0)</f>
        <v>0</v>
      </c>
      <c r="AI120" s="77" t="s">
        <v>59</v>
      </c>
      <c r="AJ120" s="65">
        <f>IF(AN120=0,L120,0)</f>
        <v>0</v>
      </c>
      <c r="AK120" s="65">
        <f>IF(AN120=15,L120,0)</f>
        <v>0</v>
      </c>
      <c r="AL120" s="65">
        <f>IF(AN120=21,L120,0)</f>
        <v>8400</v>
      </c>
      <c r="AN120" s="35">
        <v>21</v>
      </c>
      <c r="AO120" s="35">
        <f>I120*1</f>
        <v>350</v>
      </c>
      <c r="AP120" s="35">
        <f>I120*(1-1)</f>
        <v>0</v>
      </c>
      <c r="AQ120" s="79" t="s">
        <v>109</v>
      </c>
      <c r="AV120" s="35">
        <f>AW120+AX120</f>
        <v>8400</v>
      </c>
      <c r="AW120" s="35">
        <f>H120*AO120</f>
        <v>8400</v>
      </c>
      <c r="AX120" s="35">
        <f>H120*AP120</f>
        <v>0</v>
      </c>
      <c r="AY120" s="80" t="s">
        <v>1683</v>
      </c>
      <c r="AZ120" s="80" t="s">
        <v>1727</v>
      </c>
      <c r="BA120" s="77" t="s">
        <v>1772</v>
      </c>
      <c r="BC120" s="35">
        <f>AW120+AX120</f>
        <v>8400</v>
      </c>
      <c r="BD120" s="35">
        <f>I120/(100-BE120)*100</f>
        <v>350</v>
      </c>
      <c r="BE120" s="35">
        <v>0</v>
      </c>
      <c r="BF120" s="35">
        <f>120</f>
        <v>120</v>
      </c>
      <c r="BH120" s="65">
        <f>H120*AO120</f>
        <v>8400</v>
      </c>
      <c r="BI120" s="65">
        <f>H120*AP120</f>
        <v>0</v>
      </c>
      <c r="BJ120" s="65">
        <f>H120*I120</f>
        <v>8400</v>
      </c>
      <c r="BK120" s="65" t="s">
        <v>1642</v>
      </c>
      <c r="BL120" s="35" t="s">
        <v>144</v>
      </c>
    </row>
    <row r="121" spans="1:64">
      <c r="A121" s="46"/>
      <c r="B121" s="54" t="s">
        <v>59</v>
      </c>
      <c r="C121" s="54" t="s">
        <v>145</v>
      </c>
      <c r="D121" s="163" t="s">
        <v>196</v>
      </c>
      <c r="E121" s="164"/>
      <c r="F121" s="164"/>
      <c r="G121" s="61" t="s">
        <v>57</v>
      </c>
      <c r="H121" s="61" t="s">
        <v>57</v>
      </c>
      <c r="I121" s="61" t="s">
        <v>57</v>
      </c>
      <c r="J121" s="83">
        <f>SUM(J122:J127)</f>
        <v>0</v>
      </c>
      <c r="K121" s="83">
        <f>SUM(K122:K127)</f>
        <v>5901.2481600000001</v>
      </c>
      <c r="L121" s="83">
        <f>SUM(L122:L127)</f>
        <v>5901.2481600000001</v>
      </c>
      <c r="M121" s="72"/>
      <c r="N121" s="19"/>
      <c r="AI121" s="77" t="s">
        <v>59</v>
      </c>
      <c r="AS121" s="83">
        <f>SUM(AJ122:AJ127)</f>
        <v>0</v>
      </c>
      <c r="AT121" s="83">
        <f>SUM(AK122:AK127)</f>
        <v>0</v>
      </c>
      <c r="AU121" s="83">
        <f>SUM(AL122:AL127)</f>
        <v>5901.2481600000001</v>
      </c>
    </row>
    <row r="122" spans="1:64">
      <c r="A122" s="47" t="s">
        <v>280</v>
      </c>
      <c r="B122" s="55" t="s">
        <v>59</v>
      </c>
      <c r="C122" s="55" t="s">
        <v>800</v>
      </c>
      <c r="D122" s="165" t="s">
        <v>1204</v>
      </c>
      <c r="E122" s="166"/>
      <c r="F122" s="166"/>
      <c r="G122" s="55" t="s">
        <v>1634</v>
      </c>
      <c r="H122" s="64">
        <v>6.8546399999999998</v>
      </c>
      <c r="I122" s="64">
        <v>163</v>
      </c>
      <c r="J122" s="64">
        <f t="shared" ref="J122:J127" si="90">H122*AO122</f>
        <v>0</v>
      </c>
      <c r="K122" s="64">
        <f t="shared" ref="K122:K127" si="91">H122*AP122</f>
        <v>1117.3063199999999</v>
      </c>
      <c r="L122" s="64">
        <f t="shared" ref="L122:L127" si="92">H122*I122</f>
        <v>1117.3063199999999</v>
      </c>
      <c r="M122" s="73" t="s">
        <v>1657</v>
      </c>
      <c r="N122" s="19"/>
      <c r="Z122" s="35">
        <f t="shared" ref="Z122:Z127" si="93">IF(AQ122="5",BJ122,0)</f>
        <v>1117.3063199999999</v>
      </c>
      <c r="AB122" s="35">
        <f t="shared" ref="AB122:AB127" si="94">IF(AQ122="1",BH122,0)</f>
        <v>0</v>
      </c>
      <c r="AC122" s="35">
        <f t="shared" ref="AC122:AC127" si="95">IF(AQ122="1",BI122,0)</f>
        <v>0</v>
      </c>
      <c r="AD122" s="35">
        <f t="shared" ref="AD122:AD127" si="96">IF(AQ122="7",BH122,0)</f>
        <v>0</v>
      </c>
      <c r="AE122" s="35">
        <f t="shared" ref="AE122:AE127" si="97">IF(AQ122="7",BI122,0)</f>
        <v>0</v>
      </c>
      <c r="AF122" s="35">
        <f t="shared" ref="AF122:AF127" si="98">IF(AQ122="2",BH122,0)</f>
        <v>0</v>
      </c>
      <c r="AG122" s="35">
        <f t="shared" ref="AG122:AG127" si="99">IF(AQ122="2",BI122,0)</f>
        <v>0</v>
      </c>
      <c r="AH122" s="35">
        <f t="shared" ref="AH122:AH127" si="100">IF(AQ122="0",BJ122,0)</f>
        <v>0</v>
      </c>
      <c r="AI122" s="77" t="s">
        <v>59</v>
      </c>
      <c r="AJ122" s="64">
        <f t="shared" ref="AJ122:AJ127" si="101">IF(AN122=0,L122,0)</f>
        <v>0</v>
      </c>
      <c r="AK122" s="64">
        <f t="shared" ref="AK122:AK127" si="102">IF(AN122=15,L122,0)</f>
        <v>0</v>
      </c>
      <c r="AL122" s="64">
        <f t="shared" ref="AL122:AL127" si="103">IF(AN122=21,L122,0)</f>
        <v>1117.3063199999999</v>
      </c>
      <c r="AN122" s="35">
        <v>21</v>
      </c>
      <c r="AO122" s="35">
        <f t="shared" ref="AO122:AO127" si="104">I122*0</f>
        <v>0</v>
      </c>
      <c r="AP122" s="35">
        <f t="shared" ref="AP122:AP127" si="105">I122*(1-0)</f>
        <v>163</v>
      </c>
      <c r="AQ122" s="78" t="s">
        <v>112</v>
      </c>
      <c r="AV122" s="35">
        <f t="shared" ref="AV122:AV127" si="106">AW122+AX122</f>
        <v>1117.3063199999999</v>
      </c>
      <c r="AW122" s="35">
        <f t="shared" ref="AW122:AW127" si="107">H122*AO122</f>
        <v>0</v>
      </c>
      <c r="AX122" s="35">
        <f t="shared" ref="AX122:AX127" si="108">H122*AP122</f>
        <v>1117.3063199999999</v>
      </c>
      <c r="AY122" s="80" t="s">
        <v>1684</v>
      </c>
      <c r="AZ122" s="80" t="s">
        <v>1727</v>
      </c>
      <c r="BA122" s="77" t="s">
        <v>1772</v>
      </c>
      <c r="BC122" s="35">
        <f t="shared" ref="BC122:BC127" si="109">AW122+AX122</f>
        <v>1117.3063199999999</v>
      </c>
      <c r="BD122" s="35">
        <f t="shared" ref="BD122:BD127" si="110">I122/(100-BE122)*100</f>
        <v>163</v>
      </c>
      <c r="BE122" s="35">
        <v>0</v>
      </c>
      <c r="BF122" s="35">
        <f>122</f>
        <v>122</v>
      </c>
      <c r="BH122" s="64">
        <f t="shared" ref="BH122:BH127" si="111">H122*AO122</f>
        <v>0</v>
      </c>
      <c r="BI122" s="64">
        <f t="shared" ref="BI122:BI127" si="112">H122*AP122</f>
        <v>1117.3063199999999</v>
      </c>
      <c r="BJ122" s="64">
        <f t="shared" ref="BJ122:BJ127" si="113">H122*I122</f>
        <v>1117.3063199999999</v>
      </c>
      <c r="BK122" s="64" t="s">
        <v>1790</v>
      </c>
      <c r="BL122" s="35" t="s">
        <v>145</v>
      </c>
    </row>
    <row r="123" spans="1:64">
      <c r="A123" s="47" t="s">
        <v>281</v>
      </c>
      <c r="B123" s="55" t="s">
        <v>59</v>
      </c>
      <c r="C123" s="55" t="s">
        <v>801</v>
      </c>
      <c r="D123" s="165" t="s">
        <v>1205</v>
      </c>
      <c r="E123" s="166"/>
      <c r="F123" s="166"/>
      <c r="G123" s="55" t="s">
        <v>1634</v>
      </c>
      <c r="H123" s="64">
        <v>102.81959999999999</v>
      </c>
      <c r="I123" s="64">
        <v>11</v>
      </c>
      <c r="J123" s="64">
        <f t="shared" si="90"/>
        <v>0</v>
      </c>
      <c r="K123" s="64">
        <f t="shared" si="91"/>
        <v>1131.0155999999999</v>
      </c>
      <c r="L123" s="64">
        <f t="shared" si="92"/>
        <v>1131.0155999999999</v>
      </c>
      <c r="M123" s="73" t="s">
        <v>1657</v>
      </c>
      <c r="N123" s="19"/>
      <c r="Z123" s="35">
        <f t="shared" si="93"/>
        <v>1131.0155999999999</v>
      </c>
      <c r="AB123" s="35">
        <f t="shared" si="94"/>
        <v>0</v>
      </c>
      <c r="AC123" s="35">
        <f t="shared" si="95"/>
        <v>0</v>
      </c>
      <c r="AD123" s="35">
        <f t="shared" si="96"/>
        <v>0</v>
      </c>
      <c r="AE123" s="35">
        <f t="shared" si="97"/>
        <v>0</v>
      </c>
      <c r="AF123" s="35">
        <f t="shared" si="98"/>
        <v>0</v>
      </c>
      <c r="AG123" s="35">
        <f t="shared" si="99"/>
        <v>0</v>
      </c>
      <c r="AH123" s="35">
        <f t="shared" si="100"/>
        <v>0</v>
      </c>
      <c r="AI123" s="77" t="s">
        <v>59</v>
      </c>
      <c r="AJ123" s="64">
        <f t="shared" si="101"/>
        <v>0</v>
      </c>
      <c r="AK123" s="64">
        <f t="shared" si="102"/>
        <v>0</v>
      </c>
      <c r="AL123" s="64">
        <f t="shared" si="103"/>
        <v>1131.0155999999999</v>
      </c>
      <c r="AN123" s="35">
        <v>21</v>
      </c>
      <c r="AO123" s="35">
        <f t="shared" si="104"/>
        <v>0</v>
      </c>
      <c r="AP123" s="35">
        <f t="shared" si="105"/>
        <v>11</v>
      </c>
      <c r="AQ123" s="78" t="s">
        <v>112</v>
      </c>
      <c r="AV123" s="35">
        <f t="shared" si="106"/>
        <v>1131.0155999999999</v>
      </c>
      <c r="AW123" s="35">
        <f t="shared" si="107"/>
        <v>0</v>
      </c>
      <c r="AX123" s="35">
        <f t="shared" si="108"/>
        <v>1131.0155999999999</v>
      </c>
      <c r="AY123" s="80" t="s">
        <v>1684</v>
      </c>
      <c r="AZ123" s="80" t="s">
        <v>1727</v>
      </c>
      <c r="BA123" s="77" t="s">
        <v>1772</v>
      </c>
      <c r="BC123" s="35">
        <f t="shared" si="109"/>
        <v>1131.0155999999999</v>
      </c>
      <c r="BD123" s="35">
        <f t="shared" si="110"/>
        <v>11</v>
      </c>
      <c r="BE123" s="35">
        <v>0</v>
      </c>
      <c r="BF123" s="35">
        <f>123</f>
        <v>123</v>
      </c>
      <c r="BH123" s="64">
        <f t="shared" si="111"/>
        <v>0</v>
      </c>
      <c r="BI123" s="64">
        <f t="shared" si="112"/>
        <v>1131.0155999999999</v>
      </c>
      <c r="BJ123" s="64">
        <f t="shared" si="113"/>
        <v>1131.0155999999999</v>
      </c>
      <c r="BK123" s="64" t="s">
        <v>1790</v>
      </c>
      <c r="BL123" s="35" t="s">
        <v>145</v>
      </c>
    </row>
    <row r="124" spans="1:64">
      <c r="A124" s="47" t="s">
        <v>282</v>
      </c>
      <c r="B124" s="55" t="s">
        <v>59</v>
      </c>
      <c r="C124" s="55" t="s">
        <v>802</v>
      </c>
      <c r="D124" s="165" t="s">
        <v>1206</v>
      </c>
      <c r="E124" s="166"/>
      <c r="F124" s="166"/>
      <c r="G124" s="55" t="s">
        <v>1634</v>
      </c>
      <c r="H124" s="64">
        <v>6.8546399999999998</v>
      </c>
      <c r="I124" s="64">
        <v>229</v>
      </c>
      <c r="J124" s="64">
        <f t="shared" si="90"/>
        <v>0</v>
      </c>
      <c r="K124" s="64">
        <f t="shared" si="91"/>
        <v>1569.7125599999999</v>
      </c>
      <c r="L124" s="64">
        <f t="shared" si="92"/>
        <v>1569.7125599999999</v>
      </c>
      <c r="M124" s="73" t="s">
        <v>1657</v>
      </c>
      <c r="N124" s="19"/>
      <c r="Z124" s="35">
        <f t="shared" si="93"/>
        <v>1569.7125599999999</v>
      </c>
      <c r="AB124" s="35">
        <f t="shared" si="94"/>
        <v>0</v>
      </c>
      <c r="AC124" s="35">
        <f t="shared" si="95"/>
        <v>0</v>
      </c>
      <c r="AD124" s="35">
        <f t="shared" si="96"/>
        <v>0</v>
      </c>
      <c r="AE124" s="35">
        <f t="shared" si="97"/>
        <v>0</v>
      </c>
      <c r="AF124" s="35">
        <f t="shared" si="98"/>
        <v>0</v>
      </c>
      <c r="AG124" s="35">
        <f t="shared" si="99"/>
        <v>0</v>
      </c>
      <c r="AH124" s="35">
        <f t="shared" si="100"/>
        <v>0</v>
      </c>
      <c r="AI124" s="77" t="s">
        <v>59</v>
      </c>
      <c r="AJ124" s="64">
        <f t="shared" si="101"/>
        <v>0</v>
      </c>
      <c r="AK124" s="64">
        <f t="shared" si="102"/>
        <v>0</v>
      </c>
      <c r="AL124" s="64">
        <f t="shared" si="103"/>
        <v>1569.7125599999999</v>
      </c>
      <c r="AN124" s="35">
        <v>21</v>
      </c>
      <c r="AO124" s="35">
        <f t="shared" si="104"/>
        <v>0</v>
      </c>
      <c r="AP124" s="35">
        <f t="shared" si="105"/>
        <v>229</v>
      </c>
      <c r="AQ124" s="78" t="s">
        <v>112</v>
      </c>
      <c r="AV124" s="35">
        <f t="shared" si="106"/>
        <v>1569.7125599999999</v>
      </c>
      <c r="AW124" s="35">
        <f t="shared" si="107"/>
        <v>0</v>
      </c>
      <c r="AX124" s="35">
        <f t="shared" si="108"/>
        <v>1569.7125599999999</v>
      </c>
      <c r="AY124" s="80" t="s">
        <v>1684</v>
      </c>
      <c r="AZ124" s="80" t="s">
        <v>1727</v>
      </c>
      <c r="BA124" s="77" t="s">
        <v>1772</v>
      </c>
      <c r="BC124" s="35">
        <f t="shared" si="109"/>
        <v>1569.7125599999999</v>
      </c>
      <c r="BD124" s="35">
        <f t="shared" si="110"/>
        <v>229</v>
      </c>
      <c r="BE124" s="35">
        <v>0</v>
      </c>
      <c r="BF124" s="35">
        <f>124</f>
        <v>124</v>
      </c>
      <c r="BH124" s="64">
        <f t="shared" si="111"/>
        <v>0</v>
      </c>
      <c r="BI124" s="64">
        <f t="shared" si="112"/>
        <v>1569.7125599999999</v>
      </c>
      <c r="BJ124" s="64">
        <f t="shared" si="113"/>
        <v>1569.7125599999999</v>
      </c>
      <c r="BK124" s="64" t="s">
        <v>1790</v>
      </c>
      <c r="BL124" s="35" t="s">
        <v>145</v>
      </c>
    </row>
    <row r="125" spans="1:64">
      <c r="A125" s="47" t="s">
        <v>283</v>
      </c>
      <c r="B125" s="55" t="s">
        <v>59</v>
      </c>
      <c r="C125" s="55" t="s">
        <v>803</v>
      </c>
      <c r="D125" s="165" t="s">
        <v>1207</v>
      </c>
      <c r="E125" s="166"/>
      <c r="F125" s="166"/>
      <c r="G125" s="55" t="s">
        <v>1634</v>
      </c>
      <c r="H125" s="64">
        <v>27.418559999999999</v>
      </c>
      <c r="I125" s="64">
        <v>25</v>
      </c>
      <c r="J125" s="64">
        <f t="shared" si="90"/>
        <v>0</v>
      </c>
      <c r="K125" s="64">
        <f t="shared" si="91"/>
        <v>685.46399999999994</v>
      </c>
      <c r="L125" s="64">
        <f t="shared" si="92"/>
        <v>685.46399999999994</v>
      </c>
      <c r="M125" s="73" t="s">
        <v>1657</v>
      </c>
      <c r="N125" s="19"/>
      <c r="Z125" s="35">
        <f t="shared" si="93"/>
        <v>685.46399999999994</v>
      </c>
      <c r="AB125" s="35">
        <f t="shared" si="94"/>
        <v>0</v>
      </c>
      <c r="AC125" s="35">
        <f t="shared" si="95"/>
        <v>0</v>
      </c>
      <c r="AD125" s="35">
        <f t="shared" si="96"/>
        <v>0</v>
      </c>
      <c r="AE125" s="35">
        <f t="shared" si="97"/>
        <v>0</v>
      </c>
      <c r="AF125" s="35">
        <f t="shared" si="98"/>
        <v>0</v>
      </c>
      <c r="AG125" s="35">
        <f t="shared" si="99"/>
        <v>0</v>
      </c>
      <c r="AH125" s="35">
        <f t="shared" si="100"/>
        <v>0</v>
      </c>
      <c r="AI125" s="77" t="s">
        <v>59</v>
      </c>
      <c r="AJ125" s="64">
        <f t="shared" si="101"/>
        <v>0</v>
      </c>
      <c r="AK125" s="64">
        <f t="shared" si="102"/>
        <v>0</v>
      </c>
      <c r="AL125" s="64">
        <f t="shared" si="103"/>
        <v>685.46399999999994</v>
      </c>
      <c r="AN125" s="35">
        <v>21</v>
      </c>
      <c r="AO125" s="35">
        <f t="shared" si="104"/>
        <v>0</v>
      </c>
      <c r="AP125" s="35">
        <f t="shared" si="105"/>
        <v>25</v>
      </c>
      <c r="AQ125" s="78" t="s">
        <v>112</v>
      </c>
      <c r="AV125" s="35">
        <f t="shared" si="106"/>
        <v>685.46399999999994</v>
      </c>
      <c r="AW125" s="35">
        <f t="shared" si="107"/>
        <v>0</v>
      </c>
      <c r="AX125" s="35">
        <f t="shared" si="108"/>
        <v>685.46399999999994</v>
      </c>
      <c r="AY125" s="80" t="s">
        <v>1684</v>
      </c>
      <c r="AZ125" s="80" t="s">
        <v>1727</v>
      </c>
      <c r="BA125" s="77" t="s">
        <v>1772</v>
      </c>
      <c r="BC125" s="35">
        <f t="shared" si="109"/>
        <v>685.46399999999994</v>
      </c>
      <c r="BD125" s="35">
        <f t="shared" si="110"/>
        <v>25</v>
      </c>
      <c r="BE125" s="35">
        <v>0</v>
      </c>
      <c r="BF125" s="35">
        <f>125</f>
        <v>125</v>
      </c>
      <c r="BH125" s="64">
        <f t="shared" si="111"/>
        <v>0</v>
      </c>
      <c r="BI125" s="64">
        <f t="shared" si="112"/>
        <v>685.46399999999994</v>
      </c>
      <c r="BJ125" s="64">
        <f t="shared" si="113"/>
        <v>685.46399999999994</v>
      </c>
      <c r="BK125" s="64" t="s">
        <v>1790</v>
      </c>
      <c r="BL125" s="35" t="s">
        <v>145</v>
      </c>
    </row>
    <row r="126" spans="1:64">
      <c r="A126" s="47" t="s">
        <v>284</v>
      </c>
      <c r="B126" s="55" t="s">
        <v>59</v>
      </c>
      <c r="C126" s="55" t="s">
        <v>804</v>
      </c>
      <c r="D126" s="165" t="s">
        <v>1208</v>
      </c>
      <c r="E126" s="166"/>
      <c r="F126" s="166"/>
      <c r="G126" s="55" t="s">
        <v>1634</v>
      </c>
      <c r="H126" s="64">
        <v>6.4675799999999999</v>
      </c>
      <c r="I126" s="64">
        <v>216</v>
      </c>
      <c r="J126" s="64">
        <f t="shared" si="90"/>
        <v>0</v>
      </c>
      <c r="K126" s="64">
        <f t="shared" si="91"/>
        <v>1396.99728</v>
      </c>
      <c r="L126" s="64">
        <f t="shared" si="92"/>
        <v>1396.99728</v>
      </c>
      <c r="M126" s="73" t="s">
        <v>1657</v>
      </c>
      <c r="N126" s="19"/>
      <c r="Z126" s="35">
        <f t="shared" si="93"/>
        <v>1396.99728</v>
      </c>
      <c r="AB126" s="35">
        <f t="shared" si="94"/>
        <v>0</v>
      </c>
      <c r="AC126" s="35">
        <f t="shared" si="95"/>
        <v>0</v>
      </c>
      <c r="AD126" s="35">
        <f t="shared" si="96"/>
        <v>0</v>
      </c>
      <c r="AE126" s="35">
        <f t="shared" si="97"/>
        <v>0</v>
      </c>
      <c r="AF126" s="35">
        <f t="shared" si="98"/>
        <v>0</v>
      </c>
      <c r="AG126" s="35">
        <f t="shared" si="99"/>
        <v>0</v>
      </c>
      <c r="AH126" s="35">
        <f t="shared" si="100"/>
        <v>0</v>
      </c>
      <c r="AI126" s="77" t="s">
        <v>59</v>
      </c>
      <c r="AJ126" s="64">
        <f t="shared" si="101"/>
        <v>0</v>
      </c>
      <c r="AK126" s="64">
        <f t="shared" si="102"/>
        <v>0</v>
      </c>
      <c r="AL126" s="64">
        <f t="shared" si="103"/>
        <v>1396.99728</v>
      </c>
      <c r="AN126" s="35">
        <v>21</v>
      </c>
      <c r="AO126" s="35">
        <f t="shared" si="104"/>
        <v>0</v>
      </c>
      <c r="AP126" s="35">
        <f t="shared" si="105"/>
        <v>216</v>
      </c>
      <c r="AQ126" s="78" t="s">
        <v>112</v>
      </c>
      <c r="AV126" s="35">
        <f t="shared" si="106"/>
        <v>1396.99728</v>
      </c>
      <c r="AW126" s="35">
        <f t="shared" si="107"/>
        <v>0</v>
      </c>
      <c r="AX126" s="35">
        <f t="shared" si="108"/>
        <v>1396.99728</v>
      </c>
      <c r="AY126" s="80" t="s">
        <v>1684</v>
      </c>
      <c r="AZ126" s="80" t="s">
        <v>1727</v>
      </c>
      <c r="BA126" s="77" t="s">
        <v>1772</v>
      </c>
      <c r="BC126" s="35">
        <f t="shared" si="109"/>
        <v>1396.99728</v>
      </c>
      <c r="BD126" s="35">
        <f t="shared" si="110"/>
        <v>216</v>
      </c>
      <c r="BE126" s="35">
        <v>0</v>
      </c>
      <c r="BF126" s="35">
        <f>126</f>
        <v>126</v>
      </c>
      <c r="BH126" s="64">
        <f t="shared" si="111"/>
        <v>0</v>
      </c>
      <c r="BI126" s="64">
        <f t="shared" si="112"/>
        <v>1396.99728</v>
      </c>
      <c r="BJ126" s="64">
        <f t="shared" si="113"/>
        <v>1396.99728</v>
      </c>
      <c r="BK126" s="64" t="s">
        <v>1790</v>
      </c>
      <c r="BL126" s="35" t="s">
        <v>145</v>
      </c>
    </row>
    <row r="127" spans="1:64">
      <c r="A127" s="47" t="s">
        <v>285</v>
      </c>
      <c r="B127" s="55" t="s">
        <v>59</v>
      </c>
      <c r="C127" s="55" t="s">
        <v>805</v>
      </c>
      <c r="D127" s="165" t="s">
        <v>1209</v>
      </c>
      <c r="E127" s="166"/>
      <c r="F127" s="166"/>
      <c r="G127" s="55" t="s">
        <v>1634</v>
      </c>
      <c r="H127" s="64">
        <v>7.6000000000000004E-4</v>
      </c>
      <c r="I127" s="64">
        <v>990</v>
      </c>
      <c r="J127" s="64">
        <f t="shared" si="90"/>
        <v>0</v>
      </c>
      <c r="K127" s="64">
        <f t="shared" si="91"/>
        <v>0.75240000000000007</v>
      </c>
      <c r="L127" s="64">
        <f t="shared" si="92"/>
        <v>0.75240000000000007</v>
      </c>
      <c r="M127" s="73" t="s">
        <v>1657</v>
      </c>
      <c r="N127" s="19"/>
      <c r="Z127" s="35">
        <f t="shared" si="93"/>
        <v>0.75240000000000007</v>
      </c>
      <c r="AB127" s="35">
        <f t="shared" si="94"/>
        <v>0</v>
      </c>
      <c r="AC127" s="35">
        <f t="shared" si="95"/>
        <v>0</v>
      </c>
      <c r="AD127" s="35">
        <f t="shared" si="96"/>
        <v>0</v>
      </c>
      <c r="AE127" s="35">
        <f t="shared" si="97"/>
        <v>0</v>
      </c>
      <c r="AF127" s="35">
        <f t="shared" si="98"/>
        <v>0</v>
      </c>
      <c r="AG127" s="35">
        <f t="shared" si="99"/>
        <v>0</v>
      </c>
      <c r="AH127" s="35">
        <f t="shared" si="100"/>
        <v>0</v>
      </c>
      <c r="AI127" s="77" t="s">
        <v>59</v>
      </c>
      <c r="AJ127" s="64">
        <f t="shared" si="101"/>
        <v>0</v>
      </c>
      <c r="AK127" s="64">
        <f t="shared" si="102"/>
        <v>0</v>
      </c>
      <c r="AL127" s="64">
        <f t="shared" si="103"/>
        <v>0.75240000000000007</v>
      </c>
      <c r="AN127" s="35">
        <v>21</v>
      </c>
      <c r="AO127" s="35">
        <f t="shared" si="104"/>
        <v>0</v>
      </c>
      <c r="AP127" s="35">
        <f t="shared" si="105"/>
        <v>990</v>
      </c>
      <c r="AQ127" s="78" t="s">
        <v>112</v>
      </c>
      <c r="AV127" s="35">
        <f t="shared" si="106"/>
        <v>0.75240000000000007</v>
      </c>
      <c r="AW127" s="35">
        <f t="shared" si="107"/>
        <v>0</v>
      </c>
      <c r="AX127" s="35">
        <f t="shared" si="108"/>
        <v>0.75240000000000007</v>
      </c>
      <c r="AY127" s="80" t="s">
        <v>1684</v>
      </c>
      <c r="AZ127" s="80" t="s">
        <v>1727</v>
      </c>
      <c r="BA127" s="77" t="s">
        <v>1772</v>
      </c>
      <c r="BC127" s="35">
        <f t="shared" si="109"/>
        <v>0.75240000000000007</v>
      </c>
      <c r="BD127" s="35">
        <f t="shared" si="110"/>
        <v>990</v>
      </c>
      <c r="BE127" s="35">
        <v>0</v>
      </c>
      <c r="BF127" s="35">
        <f>127</f>
        <v>127</v>
      </c>
      <c r="BH127" s="64">
        <f t="shared" si="111"/>
        <v>0</v>
      </c>
      <c r="BI127" s="64">
        <f t="shared" si="112"/>
        <v>0.75240000000000007</v>
      </c>
      <c r="BJ127" s="64">
        <f t="shared" si="113"/>
        <v>0.75240000000000007</v>
      </c>
      <c r="BK127" s="64" t="s">
        <v>1790</v>
      </c>
      <c r="BL127" s="35" t="s">
        <v>145</v>
      </c>
    </row>
    <row r="128" spans="1:64">
      <c r="A128" s="49"/>
      <c r="B128" s="57" t="s">
        <v>60</v>
      </c>
      <c r="C128" s="57"/>
      <c r="D128" s="172" t="s">
        <v>76</v>
      </c>
      <c r="E128" s="173"/>
      <c r="F128" s="173"/>
      <c r="G128" s="62" t="s">
        <v>57</v>
      </c>
      <c r="H128" s="62" t="s">
        <v>57</v>
      </c>
      <c r="I128" s="62" t="s">
        <v>57</v>
      </c>
      <c r="J128" s="84">
        <f>J129+J142+J144+J151+J155+J158+J167</f>
        <v>77223.106249999997</v>
      </c>
      <c r="K128" s="84">
        <f>K129+K142+K144+K151+K155+K158+K167</f>
        <v>692269.67852999992</v>
      </c>
      <c r="L128" s="84">
        <f>L129+L142+L144+L151+L155+L158+L167</f>
        <v>769492.7847800001</v>
      </c>
      <c r="M128" s="75"/>
      <c r="N128" s="19"/>
    </row>
    <row r="129" spans="1:64">
      <c r="A129" s="46"/>
      <c r="B129" s="54" t="s">
        <v>60</v>
      </c>
      <c r="C129" s="54" t="s">
        <v>135</v>
      </c>
      <c r="D129" s="163" t="s">
        <v>186</v>
      </c>
      <c r="E129" s="164"/>
      <c r="F129" s="164"/>
      <c r="G129" s="61" t="s">
        <v>57</v>
      </c>
      <c r="H129" s="61" t="s">
        <v>57</v>
      </c>
      <c r="I129" s="61" t="s">
        <v>57</v>
      </c>
      <c r="J129" s="83">
        <f>SUM(J130:J141)</f>
        <v>45588.262499999997</v>
      </c>
      <c r="K129" s="83">
        <f>SUM(K130:K141)</f>
        <v>264269.19959999999</v>
      </c>
      <c r="L129" s="83">
        <f>SUM(L130:L141)</f>
        <v>309857.4621</v>
      </c>
      <c r="M129" s="72"/>
      <c r="N129" s="19"/>
      <c r="AI129" s="77" t="s">
        <v>60</v>
      </c>
      <c r="AS129" s="83">
        <f>SUM(AJ130:AJ141)</f>
        <v>0</v>
      </c>
      <c r="AT129" s="83">
        <f>SUM(AK130:AK141)</f>
        <v>0</v>
      </c>
      <c r="AU129" s="83">
        <f>SUM(AL130:AL141)</f>
        <v>309857.4621</v>
      </c>
    </row>
    <row r="130" spans="1:64">
      <c r="A130" s="47" t="s">
        <v>286</v>
      </c>
      <c r="B130" s="55" t="s">
        <v>60</v>
      </c>
      <c r="C130" s="55" t="s">
        <v>806</v>
      </c>
      <c r="D130" s="165" t="s">
        <v>1210</v>
      </c>
      <c r="E130" s="166"/>
      <c r="F130" s="166"/>
      <c r="G130" s="55" t="s">
        <v>1633</v>
      </c>
      <c r="H130" s="64">
        <v>368.29</v>
      </c>
      <c r="I130" s="64">
        <v>22</v>
      </c>
      <c r="J130" s="64">
        <f t="shared" ref="J130:J141" si="114">H130*AO130</f>
        <v>0</v>
      </c>
      <c r="K130" s="64">
        <f t="shared" ref="K130:K141" si="115">H130*AP130</f>
        <v>8102.38</v>
      </c>
      <c r="L130" s="64">
        <f t="shared" ref="L130:L141" si="116">H130*I130</f>
        <v>8102.38</v>
      </c>
      <c r="M130" s="73" t="s">
        <v>1657</v>
      </c>
      <c r="N130" s="19"/>
      <c r="Z130" s="35">
        <f t="shared" ref="Z130:Z141" si="117">IF(AQ130="5",BJ130,0)</f>
        <v>0</v>
      </c>
      <c r="AB130" s="35">
        <f t="shared" ref="AB130:AB141" si="118">IF(AQ130="1",BH130,0)</f>
        <v>0</v>
      </c>
      <c r="AC130" s="35">
        <f t="shared" ref="AC130:AC141" si="119">IF(AQ130="1",BI130,0)</f>
        <v>0</v>
      </c>
      <c r="AD130" s="35">
        <f t="shared" ref="AD130:AD141" si="120">IF(AQ130="7",BH130,0)</f>
        <v>0</v>
      </c>
      <c r="AE130" s="35">
        <f t="shared" ref="AE130:AE141" si="121">IF(AQ130="7",BI130,0)</f>
        <v>8102.38</v>
      </c>
      <c r="AF130" s="35">
        <f t="shared" ref="AF130:AF141" si="122">IF(AQ130="2",BH130,0)</f>
        <v>0</v>
      </c>
      <c r="AG130" s="35">
        <f t="shared" ref="AG130:AG141" si="123">IF(AQ130="2",BI130,0)</f>
        <v>0</v>
      </c>
      <c r="AH130" s="35">
        <f t="shared" ref="AH130:AH141" si="124">IF(AQ130="0",BJ130,0)</f>
        <v>0</v>
      </c>
      <c r="AI130" s="77" t="s">
        <v>60</v>
      </c>
      <c r="AJ130" s="64">
        <f t="shared" ref="AJ130:AJ141" si="125">IF(AN130=0,L130,0)</f>
        <v>0</v>
      </c>
      <c r="AK130" s="64">
        <f t="shared" ref="AK130:AK141" si="126">IF(AN130=15,L130,0)</f>
        <v>0</v>
      </c>
      <c r="AL130" s="64">
        <f t="shared" ref="AL130:AL141" si="127">IF(AN130=21,L130,0)</f>
        <v>8102.38</v>
      </c>
      <c r="AN130" s="35">
        <v>21</v>
      </c>
      <c r="AO130" s="35">
        <f t="shared" ref="AO130:AO139" si="128">I130*0</f>
        <v>0</v>
      </c>
      <c r="AP130" s="35">
        <f t="shared" ref="AP130:AP139" si="129">I130*(1-0)</f>
        <v>22</v>
      </c>
      <c r="AQ130" s="78" t="s">
        <v>235</v>
      </c>
      <c r="AV130" s="35">
        <f t="shared" ref="AV130:AV141" si="130">AW130+AX130</f>
        <v>8102.38</v>
      </c>
      <c r="AW130" s="35">
        <f t="shared" ref="AW130:AW141" si="131">H130*AO130</f>
        <v>0</v>
      </c>
      <c r="AX130" s="35">
        <f t="shared" ref="AX130:AX141" si="132">H130*AP130</f>
        <v>8102.38</v>
      </c>
      <c r="AY130" s="80" t="s">
        <v>1674</v>
      </c>
      <c r="AZ130" s="80" t="s">
        <v>1728</v>
      </c>
      <c r="BA130" s="77" t="s">
        <v>1773</v>
      </c>
      <c r="BC130" s="35">
        <f t="shared" ref="BC130:BC141" si="133">AW130+AX130</f>
        <v>8102.38</v>
      </c>
      <c r="BD130" s="35">
        <f t="shared" ref="BD130:BD141" si="134">I130/(100-BE130)*100</f>
        <v>22</v>
      </c>
      <c r="BE130" s="35">
        <v>0</v>
      </c>
      <c r="BF130" s="35">
        <f>130</f>
        <v>130</v>
      </c>
      <c r="BH130" s="64">
        <f t="shared" ref="BH130:BH141" si="135">H130*AO130</f>
        <v>0</v>
      </c>
      <c r="BI130" s="64">
        <f t="shared" ref="BI130:BI141" si="136">H130*AP130</f>
        <v>8102.38</v>
      </c>
      <c r="BJ130" s="64">
        <f t="shared" ref="BJ130:BJ141" si="137">H130*I130</f>
        <v>8102.38</v>
      </c>
      <c r="BK130" s="64" t="s">
        <v>1790</v>
      </c>
      <c r="BL130" s="35">
        <v>764</v>
      </c>
    </row>
    <row r="131" spans="1:64">
      <c r="A131" s="47" t="s">
        <v>179</v>
      </c>
      <c r="B131" s="55" t="s">
        <v>60</v>
      </c>
      <c r="C131" s="55" t="s">
        <v>807</v>
      </c>
      <c r="D131" s="165" t="s">
        <v>1211</v>
      </c>
      <c r="E131" s="166"/>
      <c r="F131" s="166"/>
      <c r="G131" s="55" t="s">
        <v>1631</v>
      </c>
      <c r="H131" s="64">
        <v>435</v>
      </c>
      <c r="I131" s="64">
        <v>22</v>
      </c>
      <c r="J131" s="64">
        <f t="shared" si="114"/>
        <v>0</v>
      </c>
      <c r="K131" s="64">
        <f t="shared" si="115"/>
        <v>9570</v>
      </c>
      <c r="L131" s="64">
        <f t="shared" si="116"/>
        <v>9570</v>
      </c>
      <c r="M131" s="73" t="s">
        <v>1657</v>
      </c>
      <c r="N131" s="19"/>
      <c r="Z131" s="35">
        <f t="shared" si="117"/>
        <v>0</v>
      </c>
      <c r="AB131" s="35">
        <f t="shared" si="118"/>
        <v>0</v>
      </c>
      <c r="AC131" s="35">
        <f t="shared" si="119"/>
        <v>0</v>
      </c>
      <c r="AD131" s="35">
        <f t="shared" si="120"/>
        <v>0</v>
      </c>
      <c r="AE131" s="35">
        <f t="shared" si="121"/>
        <v>9570</v>
      </c>
      <c r="AF131" s="35">
        <f t="shared" si="122"/>
        <v>0</v>
      </c>
      <c r="AG131" s="35">
        <f t="shared" si="123"/>
        <v>0</v>
      </c>
      <c r="AH131" s="35">
        <f t="shared" si="124"/>
        <v>0</v>
      </c>
      <c r="AI131" s="77" t="s">
        <v>60</v>
      </c>
      <c r="AJ131" s="64">
        <f t="shared" si="125"/>
        <v>0</v>
      </c>
      <c r="AK131" s="64">
        <f t="shared" si="126"/>
        <v>0</v>
      </c>
      <c r="AL131" s="64">
        <f t="shared" si="127"/>
        <v>9570</v>
      </c>
      <c r="AN131" s="35">
        <v>21</v>
      </c>
      <c r="AO131" s="35">
        <f t="shared" si="128"/>
        <v>0</v>
      </c>
      <c r="AP131" s="35">
        <f t="shared" si="129"/>
        <v>22</v>
      </c>
      <c r="AQ131" s="78" t="s">
        <v>235</v>
      </c>
      <c r="AV131" s="35">
        <f t="shared" si="130"/>
        <v>9570</v>
      </c>
      <c r="AW131" s="35">
        <f t="shared" si="131"/>
        <v>0</v>
      </c>
      <c r="AX131" s="35">
        <f t="shared" si="132"/>
        <v>9570</v>
      </c>
      <c r="AY131" s="80" t="s">
        <v>1674</v>
      </c>
      <c r="AZ131" s="80" t="s">
        <v>1728</v>
      </c>
      <c r="BA131" s="77" t="s">
        <v>1773</v>
      </c>
      <c r="BC131" s="35">
        <f t="shared" si="133"/>
        <v>9570</v>
      </c>
      <c r="BD131" s="35">
        <f t="shared" si="134"/>
        <v>22</v>
      </c>
      <c r="BE131" s="35">
        <v>0</v>
      </c>
      <c r="BF131" s="35">
        <f>131</f>
        <v>131</v>
      </c>
      <c r="BH131" s="64">
        <f t="shared" si="135"/>
        <v>0</v>
      </c>
      <c r="BI131" s="64">
        <f t="shared" si="136"/>
        <v>9570</v>
      </c>
      <c r="BJ131" s="64">
        <f t="shared" si="137"/>
        <v>9570</v>
      </c>
      <c r="BK131" s="64" t="s">
        <v>1790</v>
      </c>
      <c r="BL131" s="35">
        <v>764</v>
      </c>
    </row>
    <row r="132" spans="1:64">
      <c r="A132" s="47" t="s">
        <v>287</v>
      </c>
      <c r="B132" s="55" t="s">
        <v>60</v>
      </c>
      <c r="C132" s="55" t="s">
        <v>808</v>
      </c>
      <c r="D132" s="165" t="s">
        <v>1212</v>
      </c>
      <c r="E132" s="166"/>
      <c r="F132" s="166"/>
      <c r="G132" s="55" t="s">
        <v>1633</v>
      </c>
      <c r="H132" s="64">
        <v>374.89</v>
      </c>
      <c r="I132" s="64">
        <v>29</v>
      </c>
      <c r="J132" s="64">
        <f t="shared" si="114"/>
        <v>0</v>
      </c>
      <c r="K132" s="64">
        <f t="shared" si="115"/>
        <v>10871.81</v>
      </c>
      <c r="L132" s="64">
        <f t="shared" si="116"/>
        <v>10871.81</v>
      </c>
      <c r="M132" s="73" t="s">
        <v>1657</v>
      </c>
      <c r="N132" s="19"/>
      <c r="Z132" s="35">
        <f t="shared" si="117"/>
        <v>0</v>
      </c>
      <c r="AB132" s="35">
        <f t="shared" si="118"/>
        <v>0</v>
      </c>
      <c r="AC132" s="35">
        <f t="shared" si="119"/>
        <v>0</v>
      </c>
      <c r="AD132" s="35">
        <f t="shared" si="120"/>
        <v>0</v>
      </c>
      <c r="AE132" s="35">
        <f t="shared" si="121"/>
        <v>10871.81</v>
      </c>
      <c r="AF132" s="35">
        <f t="shared" si="122"/>
        <v>0</v>
      </c>
      <c r="AG132" s="35">
        <f t="shared" si="123"/>
        <v>0</v>
      </c>
      <c r="AH132" s="35">
        <f t="shared" si="124"/>
        <v>0</v>
      </c>
      <c r="AI132" s="77" t="s">
        <v>60</v>
      </c>
      <c r="AJ132" s="64">
        <f t="shared" si="125"/>
        <v>0</v>
      </c>
      <c r="AK132" s="64">
        <f t="shared" si="126"/>
        <v>0</v>
      </c>
      <c r="AL132" s="64">
        <f t="shared" si="127"/>
        <v>10871.81</v>
      </c>
      <c r="AN132" s="35">
        <v>21</v>
      </c>
      <c r="AO132" s="35">
        <f t="shared" si="128"/>
        <v>0</v>
      </c>
      <c r="AP132" s="35">
        <f t="shared" si="129"/>
        <v>29</v>
      </c>
      <c r="AQ132" s="78" t="s">
        <v>235</v>
      </c>
      <c r="AV132" s="35">
        <f t="shared" si="130"/>
        <v>10871.81</v>
      </c>
      <c r="AW132" s="35">
        <f t="shared" si="131"/>
        <v>0</v>
      </c>
      <c r="AX132" s="35">
        <f t="shared" si="132"/>
        <v>10871.81</v>
      </c>
      <c r="AY132" s="80" t="s">
        <v>1674</v>
      </c>
      <c r="AZ132" s="80" t="s">
        <v>1728</v>
      </c>
      <c r="BA132" s="77" t="s">
        <v>1773</v>
      </c>
      <c r="BC132" s="35">
        <f t="shared" si="133"/>
        <v>10871.81</v>
      </c>
      <c r="BD132" s="35">
        <f t="shared" si="134"/>
        <v>28.999999999999996</v>
      </c>
      <c r="BE132" s="35">
        <v>0</v>
      </c>
      <c r="BF132" s="35">
        <f>132</f>
        <v>132</v>
      </c>
      <c r="BH132" s="64">
        <f t="shared" si="135"/>
        <v>0</v>
      </c>
      <c r="BI132" s="64">
        <f t="shared" si="136"/>
        <v>10871.81</v>
      </c>
      <c r="BJ132" s="64">
        <f t="shared" si="137"/>
        <v>10871.81</v>
      </c>
      <c r="BK132" s="64" t="s">
        <v>1790</v>
      </c>
      <c r="BL132" s="35">
        <v>764</v>
      </c>
    </row>
    <row r="133" spans="1:64">
      <c r="A133" s="47" t="s">
        <v>180</v>
      </c>
      <c r="B133" s="55" t="s">
        <v>60</v>
      </c>
      <c r="C133" s="55" t="s">
        <v>809</v>
      </c>
      <c r="D133" s="165" t="s">
        <v>1213</v>
      </c>
      <c r="E133" s="166"/>
      <c r="F133" s="166"/>
      <c r="G133" s="55" t="s">
        <v>1631</v>
      </c>
      <c r="H133" s="64">
        <v>5</v>
      </c>
      <c r="I133" s="64">
        <v>1107</v>
      </c>
      <c r="J133" s="64">
        <f t="shared" si="114"/>
        <v>0</v>
      </c>
      <c r="K133" s="64">
        <f t="shared" si="115"/>
        <v>5535</v>
      </c>
      <c r="L133" s="64">
        <f t="shared" si="116"/>
        <v>5535</v>
      </c>
      <c r="M133" s="73" t="s">
        <v>1657</v>
      </c>
      <c r="N133" s="19"/>
      <c r="Z133" s="35">
        <f t="shared" si="117"/>
        <v>0</v>
      </c>
      <c r="AB133" s="35">
        <f t="shared" si="118"/>
        <v>0</v>
      </c>
      <c r="AC133" s="35">
        <f t="shared" si="119"/>
        <v>0</v>
      </c>
      <c r="AD133" s="35">
        <f t="shared" si="120"/>
        <v>0</v>
      </c>
      <c r="AE133" s="35">
        <f t="shared" si="121"/>
        <v>5535</v>
      </c>
      <c r="AF133" s="35">
        <f t="shared" si="122"/>
        <v>0</v>
      </c>
      <c r="AG133" s="35">
        <f t="shared" si="123"/>
        <v>0</v>
      </c>
      <c r="AH133" s="35">
        <f t="shared" si="124"/>
        <v>0</v>
      </c>
      <c r="AI133" s="77" t="s">
        <v>60</v>
      </c>
      <c r="AJ133" s="64">
        <f t="shared" si="125"/>
        <v>0</v>
      </c>
      <c r="AK133" s="64">
        <f t="shared" si="126"/>
        <v>0</v>
      </c>
      <c r="AL133" s="64">
        <f t="shared" si="127"/>
        <v>5535</v>
      </c>
      <c r="AN133" s="35">
        <v>21</v>
      </c>
      <c r="AO133" s="35">
        <f t="shared" si="128"/>
        <v>0</v>
      </c>
      <c r="AP133" s="35">
        <f t="shared" si="129"/>
        <v>1107</v>
      </c>
      <c r="AQ133" s="78" t="s">
        <v>235</v>
      </c>
      <c r="AV133" s="35">
        <f t="shared" si="130"/>
        <v>5535</v>
      </c>
      <c r="AW133" s="35">
        <f t="shared" si="131"/>
        <v>0</v>
      </c>
      <c r="AX133" s="35">
        <f t="shared" si="132"/>
        <v>5535</v>
      </c>
      <c r="AY133" s="80" t="s">
        <v>1674</v>
      </c>
      <c r="AZ133" s="80" t="s">
        <v>1728</v>
      </c>
      <c r="BA133" s="77" t="s">
        <v>1773</v>
      </c>
      <c r="BC133" s="35">
        <f t="shared" si="133"/>
        <v>5535</v>
      </c>
      <c r="BD133" s="35">
        <f t="shared" si="134"/>
        <v>1107</v>
      </c>
      <c r="BE133" s="35">
        <v>0</v>
      </c>
      <c r="BF133" s="35">
        <f>133</f>
        <v>133</v>
      </c>
      <c r="BH133" s="64">
        <f t="shared" si="135"/>
        <v>0</v>
      </c>
      <c r="BI133" s="64">
        <f t="shared" si="136"/>
        <v>5535</v>
      </c>
      <c r="BJ133" s="64">
        <f t="shared" si="137"/>
        <v>5535</v>
      </c>
      <c r="BK133" s="64" t="s">
        <v>1790</v>
      </c>
      <c r="BL133" s="35">
        <v>764</v>
      </c>
    </row>
    <row r="134" spans="1:64">
      <c r="A134" s="47" t="s">
        <v>288</v>
      </c>
      <c r="B134" s="55" t="s">
        <v>60</v>
      </c>
      <c r="C134" s="55" t="s">
        <v>810</v>
      </c>
      <c r="D134" s="165" t="s">
        <v>1214</v>
      </c>
      <c r="E134" s="166"/>
      <c r="F134" s="166"/>
      <c r="G134" s="55" t="s">
        <v>1633</v>
      </c>
      <c r="H134" s="64">
        <v>79.5</v>
      </c>
      <c r="I134" s="64">
        <v>24</v>
      </c>
      <c r="J134" s="64">
        <f t="shared" si="114"/>
        <v>0</v>
      </c>
      <c r="K134" s="64">
        <f t="shared" si="115"/>
        <v>1908</v>
      </c>
      <c r="L134" s="64">
        <f t="shared" si="116"/>
        <v>1908</v>
      </c>
      <c r="M134" s="73" t="s">
        <v>1657</v>
      </c>
      <c r="N134" s="19"/>
      <c r="Z134" s="35">
        <f t="shared" si="117"/>
        <v>0</v>
      </c>
      <c r="AB134" s="35">
        <f t="shared" si="118"/>
        <v>0</v>
      </c>
      <c r="AC134" s="35">
        <f t="shared" si="119"/>
        <v>0</v>
      </c>
      <c r="AD134" s="35">
        <f t="shared" si="120"/>
        <v>0</v>
      </c>
      <c r="AE134" s="35">
        <f t="shared" si="121"/>
        <v>1908</v>
      </c>
      <c r="AF134" s="35">
        <f t="shared" si="122"/>
        <v>0</v>
      </c>
      <c r="AG134" s="35">
        <f t="shared" si="123"/>
        <v>0</v>
      </c>
      <c r="AH134" s="35">
        <f t="shared" si="124"/>
        <v>0</v>
      </c>
      <c r="AI134" s="77" t="s">
        <v>60</v>
      </c>
      <c r="AJ134" s="64">
        <f t="shared" si="125"/>
        <v>0</v>
      </c>
      <c r="AK134" s="64">
        <f t="shared" si="126"/>
        <v>0</v>
      </c>
      <c r="AL134" s="64">
        <f t="shared" si="127"/>
        <v>1908</v>
      </c>
      <c r="AN134" s="35">
        <v>21</v>
      </c>
      <c r="AO134" s="35">
        <f t="shared" si="128"/>
        <v>0</v>
      </c>
      <c r="AP134" s="35">
        <f t="shared" si="129"/>
        <v>24</v>
      </c>
      <c r="AQ134" s="78" t="s">
        <v>235</v>
      </c>
      <c r="AV134" s="35">
        <f t="shared" si="130"/>
        <v>1908</v>
      </c>
      <c r="AW134" s="35">
        <f t="shared" si="131"/>
        <v>0</v>
      </c>
      <c r="AX134" s="35">
        <f t="shared" si="132"/>
        <v>1908</v>
      </c>
      <c r="AY134" s="80" t="s">
        <v>1674</v>
      </c>
      <c r="AZ134" s="80" t="s">
        <v>1728</v>
      </c>
      <c r="BA134" s="77" t="s">
        <v>1773</v>
      </c>
      <c r="BC134" s="35">
        <f t="shared" si="133"/>
        <v>1908</v>
      </c>
      <c r="BD134" s="35">
        <f t="shared" si="134"/>
        <v>24</v>
      </c>
      <c r="BE134" s="35">
        <v>0</v>
      </c>
      <c r="BF134" s="35">
        <f>134</f>
        <v>134</v>
      </c>
      <c r="BH134" s="64">
        <f t="shared" si="135"/>
        <v>0</v>
      </c>
      <c r="BI134" s="64">
        <f t="shared" si="136"/>
        <v>1908</v>
      </c>
      <c r="BJ134" s="64">
        <f t="shared" si="137"/>
        <v>1908</v>
      </c>
      <c r="BK134" s="64" t="s">
        <v>1790</v>
      </c>
      <c r="BL134" s="35">
        <v>764</v>
      </c>
    </row>
    <row r="135" spans="1:64">
      <c r="A135" s="47" t="s">
        <v>181</v>
      </c>
      <c r="B135" s="55" t="s">
        <v>60</v>
      </c>
      <c r="C135" s="55" t="s">
        <v>811</v>
      </c>
      <c r="D135" s="165" t="s">
        <v>1215</v>
      </c>
      <c r="E135" s="166"/>
      <c r="F135" s="166"/>
      <c r="G135" s="55" t="s">
        <v>1631</v>
      </c>
      <c r="H135" s="64">
        <v>9</v>
      </c>
      <c r="I135" s="64">
        <v>34</v>
      </c>
      <c r="J135" s="64">
        <f t="shared" si="114"/>
        <v>0</v>
      </c>
      <c r="K135" s="64">
        <f t="shared" si="115"/>
        <v>306</v>
      </c>
      <c r="L135" s="64">
        <f t="shared" si="116"/>
        <v>306</v>
      </c>
      <c r="M135" s="73" t="s">
        <v>1657</v>
      </c>
      <c r="N135" s="19"/>
      <c r="Z135" s="35">
        <f t="shared" si="117"/>
        <v>0</v>
      </c>
      <c r="AB135" s="35">
        <f t="shared" si="118"/>
        <v>0</v>
      </c>
      <c r="AC135" s="35">
        <f t="shared" si="119"/>
        <v>0</v>
      </c>
      <c r="AD135" s="35">
        <f t="shared" si="120"/>
        <v>0</v>
      </c>
      <c r="AE135" s="35">
        <f t="shared" si="121"/>
        <v>306</v>
      </c>
      <c r="AF135" s="35">
        <f t="shared" si="122"/>
        <v>0</v>
      </c>
      <c r="AG135" s="35">
        <f t="shared" si="123"/>
        <v>0</v>
      </c>
      <c r="AH135" s="35">
        <f t="shared" si="124"/>
        <v>0</v>
      </c>
      <c r="AI135" s="77" t="s">
        <v>60</v>
      </c>
      <c r="AJ135" s="64">
        <f t="shared" si="125"/>
        <v>0</v>
      </c>
      <c r="AK135" s="64">
        <f t="shared" si="126"/>
        <v>0</v>
      </c>
      <c r="AL135" s="64">
        <f t="shared" si="127"/>
        <v>306</v>
      </c>
      <c r="AN135" s="35">
        <v>21</v>
      </c>
      <c r="AO135" s="35">
        <f t="shared" si="128"/>
        <v>0</v>
      </c>
      <c r="AP135" s="35">
        <f t="shared" si="129"/>
        <v>34</v>
      </c>
      <c r="AQ135" s="78" t="s">
        <v>235</v>
      </c>
      <c r="AV135" s="35">
        <f t="shared" si="130"/>
        <v>306</v>
      </c>
      <c r="AW135" s="35">
        <f t="shared" si="131"/>
        <v>0</v>
      </c>
      <c r="AX135" s="35">
        <f t="shared" si="132"/>
        <v>306</v>
      </c>
      <c r="AY135" s="80" t="s">
        <v>1674</v>
      </c>
      <c r="AZ135" s="80" t="s">
        <v>1728</v>
      </c>
      <c r="BA135" s="77" t="s">
        <v>1773</v>
      </c>
      <c r="BC135" s="35">
        <f t="shared" si="133"/>
        <v>306</v>
      </c>
      <c r="BD135" s="35">
        <f t="shared" si="134"/>
        <v>34</v>
      </c>
      <c r="BE135" s="35">
        <v>0</v>
      </c>
      <c r="BF135" s="35">
        <f>135</f>
        <v>135</v>
      </c>
      <c r="BH135" s="64">
        <f t="shared" si="135"/>
        <v>0</v>
      </c>
      <c r="BI135" s="64">
        <f t="shared" si="136"/>
        <v>306</v>
      </c>
      <c r="BJ135" s="64">
        <f t="shared" si="137"/>
        <v>306</v>
      </c>
      <c r="BK135" s="64" t="s">
        <v>1790</v>
      </c>
      <c r="BL135" s="35">
        <v>764</v>
      </c>
    </row>
    <row r="136" spans="1:64">
      <c r="A136" s="47" t="s">
        <v>289</v>
      </c>
      <c r="B136" s="55" t="s">
        <v>60</v>
      </c>
      <c r="C136" s="55" t="s">
        <v>812</v>
      </c>
      <c r="D136" s="165" t="s">
        <v>1216</v>
      </c>
      <c r="E136" s="166"/>
      <c r="F136" s="166"/>
      <c r="G136" s="55" t="s">
        <v>1631</v>
      </c>
      <c r="H136" s="64">
        <v>25</v>
      </c>
      <c r="I136" s="64">
        <v>375</v>
      </c>
      <c r="J136" s="64">
        <f t="shared" si="114"/>
        <v>0</v>
      </c>
      <c r="K136" s="64">
        <f t="shared" si="115"/>
        <v>9375</v>
      </c>
      <c r="L136" s="64">
        <f t="shared" si="116"/>
        <v>9375</v>
      </c>
      <c r="M136" s="73" t="s">
        <v>1657</v>
      </c>
      <c r="N136" s="19"/>
      <c r="Z136" s="35">
        <f t="shared" si="117"/>
        <v>0</v>
      </c>
      <c r="AB136" s="35">
        <f t="shared" si="118"/>
        <v>0</v>
      </c>
      <c r="AC136" s="35">
        <f t="shared" si="119"/>
        <v>0</v>
      </c>
      <c r="AD136" s="35">
        <f t="shared" si="120"/>
        <v>0</v>
      </c>
      <c r="AE136" s="35">
        <f t="shared" si="121"/>
        <v>9375</v>
      </c>
      <c r="AF136" s="35">
        <f t="shared" si="122"/>
        <v>0</v>
      </c>
      <c r="AG136" s="35">
        <f t="shared" si="123"/>
        <v>0</v>
      </c>
      <c r="AH136" s="35">
        <f t="shared" si="124"/>
        <v>0</v>
      </c>
      <c r="AI136" s="77" t="s">
        <v>60</v>
      </c>
      <c r="AJ136" s="64">
        <f t="shared" si="125"/>
        <v>0</v>
      </c>
      <c r="AK136" s="64">
        <f t="shared" si="126"/>
        <v>0</v>
      </c>
      <c r="AL136" s="64">
        <f t="shared" si="127"/>
        <v>9375</v>
      </c>
      <c r="AN136" s="35">
        <v>21</v>
      </c>
      <c r="AO136" s="35">
        <f t="shared" si="128"/>
        <v>0</v>
      </c>
      <c r="AP136" s="35">
        <f t="shared" si="129"/>
        <v>375</v>
      </c>
      <c r="AQ136" s="78" t="s">
        <v>235</v>
      </c>
      <c r="AV136" s="35">
        <f t="shared" si="130"/>
        <v>9375</v>
      </c>
      <c r="AW136" s="35">
        <f t="shared" si="131"/>
        <v>0</v>
      </c>
      <c r="AX136" s="35">
        <f t="shared" si="132"/>
        <v>9375</v>
      </c>
      <c r="AY136" s="80" t="s">
        <v>1674</v>
      </c>
      <c r="AZ136" s="80" t="s">
        <v>1728</v>
      </c>
      <c r="BA136" s="77" t="s">
        <v>1773</v>
      </c>
      <c r="BC136" s="35">
        <f t="shared" si="133"/>
        <v>9375</v>
      </c>
      <c r="BD136" s="35">
        <f t="shared" si="134"/>
        <v>375</v>
      </c>
      <c r="BE136" s="35">
        <v>0</v>
      </c>
      <c r="BF136" s="35">
        <f>136</f>
        <v>136</v>
      </c>
      <c r="BH136" s="64">
        <f t="shared" si="135"/>
        <v>0</v>
      </c>
      <c r="BI136" s="64">
        <f t="shared" si="136"/>
        <v>9375</v>
      </c>
      <c r="BJ136" s="64">
        <f t="shared" si="137"/>
        <v>9375</v>
      </c>
      <c r="BK136" s="64" t="s">
        <v>1790</v>
      </c>
      <c r="BL136" s="35">
        <v>764</v>
      </c>
    </row>
    <row r="137" spans="1:64">
      <c r="A137" s="47" t="s">
        <v>290</v>
      </c>
      <c r="B137" s="55" t="s">
        <v>60</v>
      </c>
      <c r="C137" s="55" t="s">
        <v>813</v>
      </c>
      <c r="D137" s="165" t="s">
        <v>1217</v>
      </c>
      <c r="E137" s="166"/>
      <c r="F137" s="166"/>
      <c r="G137" s="55" t="s">
        <v>1633</v>
      </c>
      <c r="H137" s="64">
        <v>374.89</v>
      </c>
      <c r="I137" s="64">
        <v>398</v>
      </c>
      <c r="J137" s="64">
        <f t="shared" si="114"/>
        <v>0</v>
      </c>
      <c r="K137" s="64">
        <f t="shared" si="115"/>
        <v>149206.22</v>
      </c>
      <c r="L137" s="64">
        <f t="shared" si="116"/>
        <v>149206.22</v>
      </c>
      <c r="M137" s="73" t="s">
        <v>1657</v>
      </c>
      <c r="N137" s="19"/>
      <c r="Z137" s="35">
        <f t="shared" si="117"/>
        <v>0</v>
      </c>
      <c r="AB137" s="35">
        <f t="shared" si="118"/>
        <v>0</v>
      </c>
      <c r="AC137" s="35">
        <f t="shared" si="119"/>
        <v>0</v>
      </c>
      <c r="AD137" s="35">
        <f t="shared" si="120"/>
        <v>0</v>
      </c>
      <c r="AE137" s="35">
        <f t="shared" si="121"/>
        <v>149206.22</v>
      </c>
      <c r="AF137" s="35">
        <f t="shared" si="122"/>
        <v>0</v>
      </c>
      <c r="AG137" s="35">
        <f t="shared" si="123"/>
        <v>0</v>
      </c>
      <c r="AH137" s="35">
        <f t="shared" si="124"/>
        <v>0</v>
      </c>
      <c r="AI137" s="77" t="s">
        <v>60</v>
      </c>
      <c r="AJ137" s="64">
        <f t="shared" si="125"/>
        <v>0</v>
      </c>
      <c r="AK137" s="64">
        <f t="shared" si="126"/>
        <v>0</v>
      </c>
      <c r="AL137" s="64">
        <f t="shared" si="127"/>
        <v>149206.22</v>
      </c>
      <c r="AN137" s="35">
        <v>21</v>
      </c>
      <c r="AO137" s="35">
        <f t="shared" si="128"/>
        <v>0</v>
      </c>
      <c r="AP137" s="35">
        <f t="shared" si="129"/>
        <v>398</v>
      </c>
      <c r="AQ137" s="78" t="s">
        <v>235</v>
      </c>
      <c r="AV137" s="35">
        <f t="shared" si="130"/>
        <v>149206.22</v>
      </c>
      <c r="AW137" s="35">
        <f t="shared" si="131"/>
        <v>0</v>
      </c>
      <c r="AX137" s="35">
        <f t="shared" si="132"/>
        <v>149206.22</v>
      </c>
      <c r="AY137" s="80" t="s">
        <v>1674</v>
      </c>
      <c r="AZ137" s="80" t="s">
        <v>1728</v>
      </c>
      <c r="BA137" s="77" t="s">
        <v>1773</v>
      </c>
      <c r="BC137" s="35">
        <f t="shared" si="133"/>
        <v>149206.22</v>
      </c>
      <c r="BD137" s="35">
        <f t="shared" si="134"/>
        <v>398</v>
      </c>
      <c r="BE137" s="35">
        <v>0</v>
      </c>
      <c r="BF137" s="35">
        <f>137</f>
        <v>137</v>
      </c>
      <c r="BH137" s="64">
        <f t="shared" si="135"/>
        <v>0</v>
      </c>
      <c r="BI137" s="64">
        <f t="shared" si="136"/>
        <v>149206.22</v>
      </c>
      <c r="BJ137" s="64">
        <f t="shared" si="137"/>
        <v>149206.22</v>
      </c>
      <c r="BK137" s="64" t="s">
        <v>1790</v>
      </c>
      <c r="BL137" s="35">
        <v>764</v>
      </c>
    </row>
    <row r="138" spans="1:64">
      <c r="A138" s="47" t="s">
        <v>140</v>
      </c>
      <c r="B138" s="55" t="s">
        <v>60</v>
      </c>
      <c r="C138" s="55" t="s">
        <v>814</v>
      </c>
      <c r="D138" s="165" t="s">
        <v>1218</v>
      </c>
      <c r="E138" s="166"/>
      <c r="F138" s="166"/>
      <c r="G138" s="55" t="s">
        <v>1633</v>
      </c>
      <c r="H138" s="64">
        <v>79.5</v>
      </c>
      <c r="I138" s="64">
        <v>523</v>
      </c>
      <c r="J138" s="64">
        <f t="shared" si="114"/>
        <v>0</v>
      </c>
      <c r="K138" s="64">
        <f t="shared" si="115"/>
        <v>41578.5</v>
      </c>
      <c r="L138" s="64">
        <f t="shared" si="116"/>
        <v>41578.5</v>
      </c>
      <c r="M138" s="73" t="s">
        <v>1657</v>
      </c>
      <c r="N138" s="19"/>
      <c r="Z138" s="35">
        <f t="shared" si="117"/>
        <v>0</v>
      </c>
      <c r="AB138" s="35">
        <f t="shared" si="118"/>
        <v>0</v>
      </c>
      <c r="AC138" s="35">
        <f t="shared" si="119"/>
        <v>0</v>
      </c>
      <c r="AD138" s="35">
        <f t="shared" si="120"/>
        <v>0</v>
      </c>
      <c r="AE138" s="35">
        <f t="shared" si="121"/>
        <v>41578.5</v>
      </c>
      <c r="AF138" s="35">
        <f t="shared" si="122"/>
        <v>0</v>
      </c>
      <c r="AG138" s="35">
        <f t="shared" si="123"/>
        <v>0</v>
      </c>
      <c r="AH138" s="35">
        <f t="shared" si="124"/>
        <v>0</v>
      </c>
      <c r="AI138" s="77" t="s">
        <v>60</v>
      </c>
      <c r="AJ138" s="64">
        <f t="shared" si="125"/>
        <v>0</v>
      </c>
      <c r="AK138" s="64">
        <f t="shared" si="126"/>
        <v>0</v>
      </c>
      <c r="AL138" s="64">
        <f t="shared" si="127"/>
        <v>41578.5</v>
      </c>
      <c r="AN138" s="35">
        <v>21</v>
      </c>
      <c r="AO138" s="35">
        <f t="shared" si="128"/>
        <v>0</v>
      </c>
      <c r="AP138" s="35">
        <f t="shared" si="129"/>
        <v>523</v>
      </c>
      <c r="AQ138" s="78" t="s">
        <v>235</v>
      </c>
      <c r="AV138" s="35">
        <f t="shared" si="130"/>
        <v>41578.5</v>
      </c>
      <c r="AW138" s="35">
        <f t="shared" si="131"/>
        <v>0</v>
      </c>
      <c r="AX138" s="35">
        <f t="shared" si="132"/>
        <v>41578.5</v>
      </c>
      <c r="AY138" s="80" t="s">
        <v>1674</v>
      </c>
      <c r="AZ138" s="80" t="s">
        <v>1728</v>
      </c>
      <c r="BA138" s="77" t="s">
        <v>1773</v>
      </c>
      <c r="BC138" s="35">
        <f t="shared" si="133"/>
        <v>41578.5</v>
      </c>
      <c r="BD138" s="35">
        <f t="shared" si="134"/>
        <v>523</v>
      </c>
      <c r="BE138" s="35">
        <v>0</v>
      </c>
      <c r="BF138" s="35">
        <f>138</f>
        <v>138</v>
      </c>
      <c r="BH138" s="64">
        <f t="shared" si="135"/>
        <v>0</v>
      </c>
      <c r="BI138" s="64">
        <f t="shared" si="136"/>
        <v>41578.5</v>
      </c>
      <c r="BJ138" s="64">
        <f t="shared" si="137"/>
        <v>41578.5</v>
      </c>
      <c r="BK138" s="64" t="s">
        <v>1790</v>
      </c>
      <c r="BL138" s="35">
        <v>764</v>
      </c>
    </row>
    <row r="139" spans="1:64">
      <c r="A139" s="47" t="s">
        <v>141</v>
      </c>
      <c r="B139" s="55" t="s">
        <v>60</v>
      </c>
      <c r="C139" s="55" t="s">
        <v>815</v>
      </c>
      <c r="D139" s="165" t="s">
        <v>1219</v>
      </c>
      <c r="E139" s="166"/>
      <c r="F139" s="166"/>
      <c r="G139" s="55" t="s">
        <v>1633</v>
      </c>
      <c r="H139" s="64">
        <v>368.39</v>
      </c>
      <c r="I139" s="64">
        <v>58</v>
      </c>
      <c r="J139" s="64">
        <f t="shared" si="114"/>
        <v>0</v>
      </c>
      <c r="K139" s="64">
        <f t="shared" si="115"/>
        <v>21366.62</v>
      </c>
      <c r="L139" s="64">
        <f t="shared" si="116"/>
        <v>21366.62</v>
      </c>
      <c r="M139" s="73" t="s">
        <v>1657</v>
      </c>
      <c r="N139" s="19"/>
      <c r="Z139" s="35">
        <f t="shared" si="117"/>
        <v>0</v>
      </c>
      <c r="AB139" s="35">
        <f t="shared" si="118"/>
        <v>0</v>
      </c>
      <c r="AC139" s="35">
        <f t="shared" si="119"/>
        <v>0</v>
      </c>
      <c r="AD139" s="35">
        <f t="shared" si="120"/>
        <v>0</v>
      </c>
      <c r="AE139" s="35">
        <f t="shared" si="121"/>
        <v>21366.62</v>
      </c>
      <c r="AF139" s="35">
        <f t="shared" si="122"/>
        <v>0</v>
      </c>
      <c r="AG139" s="35">
        <f t="shared" si="123"/>
        <v>0</v>
      </c>
      <c r="AH139" s="35">
        <f t="shared" si="124"/>
        <v>0</v>
      </c>
      <c r="AI139" s="77" t="s">
        <v>60</v>
      </c>
      <c r="AJ139" s="64">
        <f t="shared" si="125"/>
        <v>0</v>
      </c>
      <c r="AK139" s="64">
        <f t="shared" si="126"/>
        <v>0</v>
      </c>
      <c r="AL139" s="64">
        <f t="shared" si="127"/>
        <v>21366.62</v>
      </c>
      <c r="AN139" s="35">
        <v>21</v>
      </c>
      <c r="AO139" s="35">
        <f t="shared" si="128"/>
        <v>0</v>
      </c>
      <c r="AP139" s="35">
        <f t="shared" si="129"/>
        <v>58</v>
      </c>
      <c r="AQ139" s="78" t="s">
        <v>235</v>
      </c>
      <c r="AV139" s="35">
        <f t="shared" si="130"/>
        <v>21366.62</v>
      </c>
      <c r="AW139" s="35">
        <f t="shared" si="131"/>
        <v>0</v>
      </c>
      <c r="AX139" s="35">
        <f t="shared" si="132"/>
        <v>21366.62</v>
      </c>
      <c r="AY139" s="80" t="s">
        <v>1674</v>
      </c>
      <c r="AZ139" s="80" t="s">
        <v>1728</v>
      </c>
      <c r="BA139" s="77" t="s">
        <v>1773</v>
      </c>
      <c r="BC139" s="35">
        <f t="shared" si="133"/>
        <v>21366.62</v>
      </c>
      <c r="BD139" s="35">
        <f t="shared" si="134"/>
        <v>57.999999999999993</v>
      </c>
      <c r="BE139" s="35">
        <v>0</v>
      </c>
      <c r="BF139" s="35">
        <f>139</f>
        <v>139</v>
      </c>
      <c r="BH139" s="64">
        <f t="shared" si="135"/>
        <v>0</v>
      </c>
      <c r="BI139" s="64">
        <f t="shared" si="136"/>
        <v>21366.62</v>
      </c>
      <c r="BJ139" s="64">
        <f t="shared" si="137"/>
        <v>21366.62</v>
      </c>
      <c r="BK139" s="64" t="s">
        <v>1790</v>
      </c>
      <c r="BL139" s="35">
        <v>764</v>
      </c>
    </row>
    <row r="140" spans="1:64">
      <c r="A140" s="48" t="s">
        <v>142</v>
      </c>
      <c r="B140" s="56" t="s">
        <v>60</v>
      </c>
      <c r="C140" s="56" t="s">
        <v>816</v>
      </c>
      <c r="D140" s="170" t="s">
        <v>1220</v>
      </c>
      <c r="E140" s="171"/>
      <c r="F140" s="171"/>
      <c r="G140" s="56" t="s">
        <v>1631</v>
      </c>
      <c r="H140" s="65">
        <v>202.61449999999999</v>
      </c>
      <c r="I140" s="65">
        <v>225</v>
      </c>
      <c r="J140" s="65">
        <f t="shared" si="114"/>
        <v>45588.262499999997</v>
      </c>
      <c r="K140" s="65">
        <f t="shared" si="115"/>
        <v>0</v>
      </c>
      <c r="L140" s="65">
        <f t="shared" si="116"/>
        <v>45588.262499999997</v>
      </c>
      <c r="M140" s="74" t="s">
        <v>1657</v>
      </c>
      <c r="N140" s="19"/>
      <c r="Z140" s="35">
        <f t="shared" si="117"/>
        <v>0</v>
      </c>
      <c r="AB140" s="35">
        <f t="shared" si="118"/>
        <v>0</v>
      </c>
      <c r="AC140" s="35">
        <f t="shared" si="119"/>
        <v>0</v>
      </c>
      <c r="AD140" s="35">
        <f t="shared" si="120"/>
        <v>45588.262499999997</v>
      </c>
      <c r="AE140" s="35">
        <f t="shared" si="121"/>
        <v>0</v>
      </c>
      <c r="AF140" s="35">
        <f t="shared" si="122"/>
        <v>0</v>
      </c>
      <c r="AG140" s="35">
        <f t="shared" si="123"/>
        <v>0</v>
      </c>
      <c r="AH140" s="35">
        <f t="shared" si="124"/>
        <v>0</v>
      </c>
      <c r="AI140" s="77" t="s">
        <v>60</v>
      </c>
      <c r="AJ140" s="65">
        <f t="shared" si="125"/>
        <v>0</v>
      </c>
      <c r="AK140" s="65">
        <f t="shared" si="126"/>
        <v>0</v>
      </c>
      <c r="AL140" s="65">
        <f t="shared" si="127"/>
        <v>45588.262499999997</v>
      </c>
      <c r="AN140" s="35">
        <v>21</v>
      </c>
      <c r="AO140" s="35">
        <f>I140*1</f>
        <v>225</v>
      </c>
      <c r="AP140" s="35">
        <f>I140*(1-1)</f>
        <v>0</v>
      </c>
      <c r="AQ140" s="79" t="s">
        <v>235</v>
      </c>
      <c r="AV140" s="35">
        <f t="shared" si="130"/>
        <v>45588.262499999997</v>
      </c>
      <c r="AW140" s="35">
        <f t="shared" si="131"/>
        <v>45588.262499999997</v>
      </c>
      <c r="AX140" s="35">
        <f t="shared" si="132"/>
        <v>0</v>
      </c>
      <c r="AY140" s="80" t="s">
        <v>1674</v>
      </c>
      <c r="AZ140" s="80" t="s">
        <v>1728</v>
      </c>
      <c r="BA140" s="77" t="s">
        <v>1773</v>
      </c>
      <c r="BC140" s="35">
        <f t="shared" si="133"/>
        <v>45588.262499999997</v>
      </c>
      <c r="BD140" s="35">
        <f t="shared" si="134"/>
        <v>225</v>
      </c>
      <c r="BE140" s="35">
        <v>0</v>
      </c>
      <c r="BF140" s="35">
        <f>140</f>
        <v>140</v>
      </c>
      <c r="BH140" s="65">
        <f t="shared" si="135"/>
        <v>45588.262499999997</v>
      </c>
      <c r="BI140" s="65">
        <f t="shared" si="136"/>
        <v>0</v>
      </c>
      <c r="BJ140" s="65">
        <f t="shared" si="137"/>
        <v>45588.262499999997</v>
      </c>
      <c r="BK140" s="65" t="s">
        <v>1642</v>
      </c>
      <c r="BL140" s="35">
        <v>764</v>
      </c>
    </row>
    <row r="141" spans="1:64">
      <c r="A141" s="47" t="s">
        <v>143</v>
      </c>
      <c r="B141" s="55" t="s">
        <v>60</v>
      </c>
      <c r="C141" s="55" t="s">
        <v>757</v>
      </c>
      <c r="D141" s="165" t="s">
        <v>1157</v>
      </c>
      <c r="E141" s="166"/>
      <c r="F141" s="166"/>
      <c r="G141" s="55" t="s">
        <v>1634</v>
      </c>
      <c r="H141" s="64">
        <v>4.6167999999999996</v>
      </c>
      <c r="I141" s="64">
        <v>1397</v>
      </c>
      <c r="J141" s="64">
        <f t="shared" si="114"/>
        <v>0</v>
      </c>
      <c r="K141" s="64">
        <f t="shared" si="115"/>
        <v>6449.6695999999993</v>
      </c>
      <c r="L141" s="64">
        <f t="shared" si="116"/>
        <v>6449.6695999999993</v>
      </c>
      <c r="M141" s="73" t="s">
        <v>1657</v>
      </c>
      <c r="N141" s="19"/>
      <c r="Z141" s="35">
        <f t="shared" si="117"/>
        <v>6449.6695999999993</v>
      </c>
      <c r="AB141" s="35">
        <f t="shared" si="118"/>
        <v>0</v>
      </c>
      <c r="AC141" s="35">
        <f t="shared" si="119"/>
        <v>0</v>
      </c>
      <c r="AD141" s="35">
        <f t="shared" si="120"/>
        <v>0</v>
      </c>
      <c r="AE141" s="35">
        <f t="shared" si="121"/>
        <v>0</v>
      </c>
      <c r="AF141" s="35">
        <f t="shared" si="122"/>
        <v>0</v>
      </c>
      <c r="AG141" s="35">
        <f t="shared" si="123"/>
        <v>0</v>
      </c>
      <c r="AH141" s="35">
        <f t="shared" si="124"/>
        <v>0</v>
      </c>
      <c r="AI141" s="77" t="s">
        <v>60</v>
      </c>
      <c r="AJ141" s="64">
        <f t="shared" si="125"/>
        <v>0</v>
      </c>
      <c r="AK141" s="64">
        <f t="shared" si="126"/>
        <v>0</v>
      </c>
      <c r="AL141" s="64">
        <f t="shared" si="127"/>
        <v>6449.6695999999993</v>
      </c>
      <c r="AN141" s="35">
        <v>21</v>
      </c>
      <c r="AO141" s="35">
        <f>I141*0</f>
        <v>0</v>
      </c>
      <c r="AP141" s="35">
        <f>I141*(1-0)</f>
        <v>1397</v>
      </c>
      <c r="AQ141" s="78" t="s">
        <v>112</v>
      </c>
      <c r="AV141" s="35">
        <f t="shared" si="130"/>
        <v>6449.6695999999993</v>
      </c>
      <c r="AW141" s="35">
        <f t="shared" si="131"/>
        <v>0</v>
      </c>
      <c r="AX141" s="35">
        <f t="shared" si="132"/>
        <v>6449.6695999999993</v>
      </c>
      <c r="AY141" s="80" t="s">
        <v>1674</v>
      </c>
      <c r="AZ141" s="80" t="s">
        <v>1728</v>
      </c>
      <c r="BA141" s="77" t="s">
        <v>1773</v>
      </c>
      <c r="BC141" s="35">
        <f t="shared" si="133"/>
        <v>6449.6695999999993</v>
      </c>
      <c r="BD141" s="35">
        <f t="shared" si="134"/>
        <v>1397</v>
      </c>
      <c r="BE141" s="35">
        <v>0</v>
      </c>
      <c r="BF141" s="35">
        <f>141</f>
        <v>141</v>
      </c>
      <c r="BH141" s="64">
        <f t="shared" si="135"/>
        <v>0</v>
      </c>
      <c r="BI141" s="64">
        <f t="shared" si="136"/>
        <v>6449.6695999999993</v>
      </c>
      <c r="BJ141" s="64">
        <f t="shared" si="137"/>
        <v>6449.6695999999993</v>
      </c>
      <c r="BK141" s="64" t="s">
        <v>1790</v>
      </c>
      <c r="BL141" s="35">
        <v>764</v>
      </c>
    </row>
    <row r="142" spans="1:64">
      <c r="A142" s="46"/>
      <c r="B142" s="54" t="s">
        <v>60</v>
      </c>
      <c r="C142" s="54" t="s">
        <v>141</v>
      </c>
      <c r="D142" s="163" t="s">
        <v>192</v>
      </c>
      <c r="E142" s="164"/>
      <c r="F142" s="164"/>
      <c r="G142" s="61" t="s">
        <v>57</v>
      </c>
      <c r="H142" s="61" t="s">
        <v>57</v>
      </c>
      <c r="I142" s="61" t="s">
        <v>57</v>
      </c>
      <c r="J142" s="83">
        <f>SUM(J143:J143)</f>
        <v>0</v>
      </c>
      <c r="K142" s="83">
        <f>SUM(K143:K143)</f>
        <v>4075.38</v>
      </c>
      <c r="L142" s="83">
        <f>SUM(L143:L143)</f>
        <v>4075.38</v>
      </c>
      <c r="M142" s="72"/>
      <c r="N142" s="19"/>
      <c r="AI142" s="77" t="s">
        <v>60</v>
      </c>
      <c r="AS142" s="83">
        <f>SUM(AJ143:AJ143)</f>
        <v>0</v>
      </c>
      <c r="AT142" s="83">
        <f>SUM(AK143:AK143)</f>
        <v>0</v>
      </c>
      <c r="AU142" s="83">
        <f>SUM(AL143:AL143)</f>
        <v>4075.38</v>
      </c>
    </row>
    <row r="143" spans="1:64">
      <c r="A143" s="47" t="s">
        <v>291</v>
      </c>
      <c r="B143" s="55" t="s">
        <v>60</v>
      </c>
      <c r="C143" s="55" t="s">
        <v>817</v>
      </c>
      <c r="D143" s="165" t="s">
        <v>1221</v>
      </c>
      <c r="E143" s="166"/>
      <c r="F143" s="166"/>
      <c r="G143" s="55" t="s">
        <v>1632</v>
      </c>
      <c r="H143" s="64">
        <v>1018.845</v>
      </c>
      <c r="I143" s="64">
        <v>4</v>
      </c>
      <c r="J143" s="64">
        <f>H143*AO143</f>
        <v>0</v>
      </c>
      <c r="K143" s="64">
        <f>H143*AP143</f>
        <v>4075.38</v>
      </c>
      <c r="L143" s="64">
        <f>H143*I143</f>
        <v>4075.38</v>
      </c>
      <c r="M143" s="73" t="s">
        <v>1657</v>
      </c>
      <c r="N143" s="19"/>
      <c r="Z143" s="35">
        <f>IF(AQ143="5",BJ143,0)</f>
        <v>0</v>
      </c>
      <c r="AB143" s="35">
        <f>IF(AQ143="1",BH143,0)</f>
        <v>0</v>
      </c>
      <c r="AC143" s="35">
        <f>IF(AQ143="1",BI143,0)</f>
        <v>4075.38</v>
      </c>
      <c r="AD143" s="35">
        <f>IF(AQ143="7",BH143,0)</f>
        <v>0</v>
      </c>
      <c r="AE143" s="35">
        <f>IF(AQ143="7",BI143,0)</f>
        <v>0</v>
      </c>
      <c r="AF143" s="35">
        <f>IF(AQ143="2",BH143,0)</f>
        <v>0</v>
      </c>
      <c r="AG143" s="35">
        <f>IF(AQ143="2",BI143,0)</f>
        <v>0</v>
      </c>
      <c r="AH143" s="35">
        <f>IF(AQ143="0",BJ143,0)</f>
        <v>0</v>
      </c>
      <c r="AI143" s="77" t="s">
        <v>60</v>
      </c>
      <c r="AJ143" s="64">
        <f>IF(AN143=0,L143,0)</f>
        <v>0</v>
      </c>
      <c r="AK143" s="64">
        <f>IF(AN143=15,L143,0)</f>
        <v>0</v>
      </c>
      <c r="AL143" s="64">
        <f>IF(AN143=21,L143,0)</f>
        <v>4075.38</v>
      </c>
      <c r="AN143" s="35">
        <v>21</v>
      </c>
      <c r="AO143" s="35">
        <f>I143*0</f>
        <v>0</v>
      </c>
      <c r="AP143" s="35">
        <f>I143*(1-0)</f>
        <v>4</v>
      </c>
      <c r="AQ143" s="78" t="s">
        <v>109</v>
      </c>
      <c r="AV143" s="35">
        <f>AW143+AX143</f>
        <v>4075.38</v>
      </c>
      <c r="AW143" s="35">
        <f>H143*AO143</f>
        <v>0</v>
      </c>
      <c r="AX143" s="35">
        <f>H143*AP143</f>
        <v>4075.38</v>
      </c>
      <c r="AY143" s="80" t="s">
        <v>1680</v>
      </c>
      <c r="AZ143" s="80" t="s">
        <v>1729</v>
      </c>
      <c r="BA143" s="77" t="s">
        <v>1773</v>
      </c>
      <c r="BC143" s="35">
        <f>AW143+AX143</f>
        <v>4075.38</v>
      </c>
      <c r="BD143" s="35">
        <f>I143/(100-BE143)*100</f>
        <v>4</v>
      </c>
      <c r="BE143" s="35">
        <v>0</v>
      </c>
      <c r="BF143" s="35">
        <f>143</f>
        <v>143</v>
      </c>
      <c r="BH143" s="64">
        <f>H143*AO143</f>
        <v>0</v>
      </c>
      <c r="BI143" s="64">
        <f>H143*AP143</f>
        <v>4075.38</v>
      </c>
      <c r="BJ143" s="64">
        <f>H143*I143</f>
        <v>4075.38</v>
      </c>
      <c r="BK143" s="64" t="s">
        <v>1790</v>
      </c>
      <c r="BL143" s="35">
        <v>95</v>
      </c>
    </row>
    <row r="144" spans="1:64">
      <c r="A144" s="46"/>
      <c r="B144" s="54" t="s">
        <v>60</v>
      </c>
      <c r="C144" s="54" t="s">
        <v>145</v>
      </c>
      <c r="D144" s="163" t="s">
        <v>196</v>
      </c>
      <c r="E144" s="164"/>
      <c r="F144" s="164"/>
      <c r="G144" s="61" t="s">
        <v>57</v>
      </c>
      <c r="H144" s="61" t="s">
        <v>57</v>
      </c>
      <c r="I144" s="61" t="s">
        <v>57</v>
      </c>
      <c r="J144" s="83">
        <f>SUM(J145:J150)</f>
        <v>0</v>
      </c>
      <c r="K144" s="83">
        <f>SUM(K145:K150)</f>
        <v>11227.627979999999</v>
      </c>
      <c r="L144" s="83">
        <f>SUM(L145:L150)</f>
        <v>11227.627979999999</v>
      </c>
      <c r="M144" s="72"/>
      <c r="N144" s="19"/>
      <c r="AI144" s="77" t="s">
        <v>60</v>
      </c>
      <c r="AS144" s="83">
        <f>SUM(AJ145:AJ150)</f>
        <v>0</v>
      </c>
      <c r="AT144" s="83">
        <f>SUM(AK145:AK150)</f>
        <v>0</v>
      </c>
      <c r="AU144" s="83">
        <f>SUM(AL145:AL150)</f>
        <v>11227.627979999999</v>
      </c>
    </row>
    <row r="145" spans="1:64">
      <c r="A145" s="47" t="s">
        <v>292</v>
      </c>
      <c r="B145" s="55" t="s">
        <v>60</v>
      </c>
      <c r="C145" s="55" t="s">
        <v>800</v>
      </c>
      <c r="D145" s="165" t="s">
        <v>1204</v>
      </c>
      <c r="E145" s="166"/>
      <c r="F145" s="166"/>
      <c r="G145" s="55" t="s">
        <v>1634</v>
      </c>
      <c r="H145" s="64">
        <v>7.20892</v>
      </c>
      <c r="I145" s="64">
        <v>163</v>
      </c>
      <c r="J145" s="64">
        <f t="shared" ref="J145:J150" si="138">H145*AO145</f>
        <v>0</v>
      </c>
      <c r="K145" s="64">
        <f t="shared" ref="K145:K150" si="139">H145*AP145</f>
        <v>1175.05396</v>
      </c>
      <c r="L145" s="64">
        <f t="shared" ref="L145:L150" si="140">H145*I145</f>
        <v>1175.05396</v>
      </c>
      <c r="M145" s="73" t="s">
        <v>1657</v>
      </c>
      <c r="N145" s="19"/>
      <c r="Z145" s="35">
        <f t="shared" ref="Z145:Z150" si="141">IF(AQ145="5",BJ145,0)</f>
        <v>1175.05396</v>
      </c>
      <c r="AB145" s="35">
        <f t="shared" ref="AB145:AB150" si="142">IF(AQ145="1",BH145,0)</f>
        <v>0</v>
      </c>
      <c r="AC145" s="35">
        <f t="shared" ref="AC145:AC150" si="143">IF(AQ145="1",BI145,0)</f>
        <v>0</v>
      </c>
      <c r="AD145" s="35">
        <f t="shared" ref="AD145:AD150" si="144">IF(AQ145="7",BH145,0)</f>
        <v>0</v>
      </c>
      <c r="AE145" s="35">
        <f t="shared" ref="AE145:AE150" si="145">IF(AQ145="7",BI145,0)</f>
        <v>0</v>
      </c>
      <c r="AF145" s="35">
        <f t="shared" ref="AF145:AF150" si="146">IF(AQ145="2",BH145,0)</f>
        <v>0</v>
      </c>
      <c r="AG145" s="35">
        <f t="shared" ref="AG145:AG150" si="147">IF(AQ145="2",BI145,0)</f>
        <v>0</v>
      </c>
      <c r="AH145" s="35">
        <f t="shared" ref="AH145:AH150" si="148">IF(AQ145="0",BJ145,0)</f>
        <v>0</v>
      </c>
      <c r="AI145" s="77" t="s">
        <v>60</v>
      </c>
      <c r="AJ145" s="64">
        <f t="shared" ref="AJ145:AJ150" si="149">IF(AN145=0,L145,0)</f>
        <v>0</v>
      </c>
      <c r="AK145" s="64">
        <f t="shared" ref="AK145:AK150" si="150">IF(AN145=15,L145,0)</f>
        <v>0</v>
      </c>
      <c r="AL145" s="64">
        <f t="shared" ref="AL145:AL150" si="151">IF(AN145=21,L145,0)</f>
        <v>1175.05396</v>
      </c>
      <c r="AN145" s="35">
        <v>21</v>
      </c>
      <c r="AO145" s="35">
        <f t="shared" ref="AO145:AO150" si="152">I145*0</f>
        <v>0</v>
      </c>
      <c r="AP145" s="35">
        <f t="shared" ref="AP145:AP150" si="153">I145*(1-0)</f>
        <v>163</v>
      </c>
      <c r="AQ145" s="78" t="s">
        <v>112</v>
      </c>
      <c r="AV145" s="35">
        <f t="shared" ref="AV145:AV150" si="154">AW145+AX145</f>
        <v>1175.05396</v>
      </c>
      <c r="AW145" s="35">
        <f t="shared" ref="AW145:AW150" si="155">H145*AO145</f>
        <v>0</v>
      </c>
      <c r="AX145" s="35">
        <f t="shared" ref="AX145:AX150" si="156">H145*AP145</f>
        <v>1175.05396</v>
      </c>
      <c r="AY145" s="80" t="s">
        <v>1684</v>
      </c>
      <c r="AZ145" s="80" t="s">
        <v>1729</v>
      </c>
      <c r="BA145" s="77" t="s">
        <v>1773</v>
      </c>
      <c r="BC145" s="35">
        <f t="shared" ref="BC145:BC150" si="157">AW145+AX145</f>
        <v>1175.05396</v>
      </c>
      <c r="BD145" s="35">
        <f t="shared" ref="BD145:BD150" si="158">I145/(100-BE145)*100</f>
        <v>163</v>
      </c>
      <c r="BE145" s="35">
        <v>0</v>
      </c>
      <c r="BF145" s="35">
        <f>145</f>
        <v>145</v>
      </c>
      <c r="BH145" s="64">
        <f t="shared" ref="BH145:BH150" si="159">H145*AO145</f>
        <v>0</v>
      </c>
      <c r="BI145" s="64">
        <f t="shared" ref="BI145:BI150" si="160">H145*AP145</f>
        <v>1175.05396</v>
      </c>
      <c r="BJ145" s="64">
        <f t="shared" ref="BJ145:BJ150" si="161">H145*I145</f>
        <v>1175.05396</v>
      </c>
      <c r="BK145" s="64" t="s">
        <v>1790</v>
      </c>
      <c r="BL145" s="35" t="s">
        <v>145</v>
      </c>
    </row>
    <row r="146" spans="1:64">
      <c r="A146" s="47" t="s">
        <v>293</v>
      </c>
      <c r="B146" s="55" t="s">
        <v>60</v>
      </c>
      <c r="C146" s="55" t="s">
        <v>801</v>
      </c>
      <c r="D146" s="165" t="s">
        <v>1205</v>
      </c>
      <c r="E146" s="166"/>
      <c r="F146" s="166"/>
      <c r="G146" s="55" t="s">
        <v>1634</v>
      </c>
      <c r="H146" s="64">
        <v>108.13379999999999</v>
      </c>
      <c r="I146" s="64">
        <v>11</v>
      </c>
      <c r="J146" s="64">
        <f t="shared" si="138"/>
        <v>0</v>
      </c>
      <c r="K146" s="64">
        <f t="shared" si="139"/>
        <v>1189.4718</v>
      </c>
      <c r="L146" s="64">
        <f t="shared" si="140"/>
        <v>1189.4718</v>
      </c>
      <c r="M146" s="73" t="s">
        <v>1657</v>
      </c>
      <c r="N146" s="19"/>
      <c r="Z146" s="35">
        <f t="shared" si="141"/>
        <v>1189.4718</v>
      </c>
      <c r="AB146" s="35">
        <f t="shared" si="142"/>
        <v>0</v>
      </c>
      <c r="AC146" s="35">
        <f t="shared" si="143"/>
        <v>0</v>
      </c>
      <c r="AD146" s="35">
        <f t="shared" si="144"/>
        <v>0</v>
      </c>
      <c r="AE146" s="35">
        <f t="shared" si="145"/>
        <v>0</v>
      </c>
      <c r="AF146" s="35">
        <f t="shared" si="146"/>
        <v>0</v>
      </c>
      <c r="AG146" s="35">
        <f t="shared" si="147"/>
        <v>0</v>
      </c>
      <c r="AH146" s="35">
        <f t="shared" si="148"/>
        <v>0</v>
      </c>
      <c r="AI146" s="77" t="s">
        <v>60</v>
      </c>
      <c r="AJ146" s="64">
        <f t="shared" si="149"/>
        <v>0</v>
      </c>
      <c r="AK146" s="64">
        <f t="shared" si="150"/>
        <v>0</v>
      </c>
      <c r="AL146" s="64">
        <f t="shared" si="151"/>
        <v>1189.4718</v>
      </c>
      <c r="AN146" s="35">
        <v>21</v>
      </c>
      <c r="AO146" s="35">
        <f t="shared" si="152"/>
        <v>0</v>
      </c>
      <c r="AP146" s="35">
        <f t="shared" si="153"/>
        <v>11</v>
      </c>
      <c r="AQ146" s="78" t="s">
        <v>112</v>
      </c>
      <c r="AV146" s="35">
        <f t="shared" si="154"/>
        <v>1189.4718</v>
      </c>
      <c r="AW146" s="35">
        <f t="shared" si="155"/>
        <v>0</v>
      </c>
      <c r="AX146" s="35">
        <f t="shared" si="156"/>
        <v>1189.4718</v>
      </c>
      <c r="AY146" s="80" t="s">
        <v>1684</v>
      </c>
      <c r="AZ146" s="80" t="s">
        <v>1729</v>
      </c>
      <c r="BA146" s="77" t="s">
        <v>1773</v>
      </c>
      <c r="BC146" s="35">
        <f t="shared" si="157"/>
        <v>1189.4718</v>
      </c>
      <c r="BD146" s="35">
        <f t="shared" si="158"/>
        <v>11</v>
      </c>
      <c r="BE146" s="35">
        <v>0</v>
      </c>
      <c r="BF146" s="35">
        <f>146</f>
        <v>146</v>
      </c>
      <c r="BH146" s="64">
        <f t="shared" si="159"/>
        <v>0</v>
      </c>
      <c r="BI146" s="64">
        <f t="shared" si="160"/>
        <v>1189.4718</v>
      </c>
      <c r="BJ146" s="64">
        <f t="shared" si="161"/>
        <v>1189.4718</v>
      </c>
      <c r="BK146" s="64" t="s">
        <v>1790</v>
      </c>
      <c r="BL146" s="35" t="s">
        <v>145</v>
      </c>
    </row>
    <row r="147" spans="1:64">
      <c r="A147" s="47" t="s">
        <v>294</v>
      </c>
      <c r="B147" s="55" t="s">
        <v>60</v>
      </c>
      <c r="C147" s="55" t="s">
        <v>802</v>
      </c>
      <c r="D147" s="165" t="s">
        <v>1206</v>
      </c>
      <c r="E147" s="166"/>
      <c r="F147" s="166"/>
      <c r="G147" s="55" t="s">
        <v>1634</v>
      </c>
      <c r="H147" s="64">
        <v>7.20892</v>
      </c>
      <c r="I147" s="64">
        <v>229</v>
      </c>
      <c r="J147" s="64">
        <f t="shared" si="138"/>
        <v>0</v>
      </c>
      <c r="K147" s="64">
        <f t="shared" si="139"/>
        <v>1650.84268</v>
      </c>
      <c r="L147" s="64">
        <f t="shared" si="140"/>
        <v>1650.84268</v>
      </c>
      <c r="M147" s="73" t="s">
        <v>1657</v>
      </c>
      <c r="N147" s="19"/>
      <c r="Z147" s="35">
        <f t="shared" si="141"/>
        <v>1650.84268</v>
      </c>
      <c r="AB147" s="35">
        <f t="shared" si="142"/>
        <v>0</v>
      </c>
      <c r="AC147" s="35">
        <f t="shared" si="143"/>
        <v>0</v>
      </c>
      <c r="AD147" s="35">
        <f t="shared" si="144"/>
        <v>0</v>
      </c>
      <c r="AE147" s="35">
        <f t="shared" si="145"/>
        <v>0</v>
      </c>
      <c r="AF147" s="35">
        <f t="shared" si="146"/>
        <v>0</v>
      </c>
      <c r="AG147" s="35">
        <f t="shared" si="147"/>
        <v>0</v>
      </c>
      <c r="AH147" s="35">
        <f t="shared" si="148"/>
        <v>0</v>
      </c>
      <c r="AI147" s="77" t="s">
        <v>60</v>
      </c>
      <c r="AJ147" s="64">
        <f t="shared" si="149"/>
        <v>0</v>
      </c>
      <c r="AK147" s="64">
        <f t="shared" si="150"/>
        <v>0</v>
      </c>
      <c r="AL147" s="64">
        <f t="shared" si="151"/>
        <v>1650.84268</v>
      </c>
      <c r="AN147" s="35">
        <v>21</v>
      </c>
      <c r="AO147" s="35">
        <f t="shared" si="152"/>
        <v>0</v>
      </c>
      <c r="AP147" s="35">
        <f t="shared" si="153"/>
        <v>229</v>
      </c>
      <c r="AQ147" s="78" t="s">
        <v>112</v>
      </c>
      <c r="AV147" s="35">
        <f t="shared" si="154"/>
        <v>1650.84268</v>
      </c>
      <c r="AW147" s="35">
        <f t="shared" si="155"/>
        <v>0</v>
      </c>
      <c r="AX147" s="35">
        <f t="shared" si="156"/>
        <v>1650.84268</v>
      </c>
      <c r="AY147" s="80" t="s">
        <v>1684</v>
      </c>
      <c r="AZ147" s="80" t="s">
        <v>1729</v>
      </c>
      <c r="BA147" s="77" t="s">
        <v>1773</v>
      </c>
      <c r="BC147" s="35">
        <f t="shared" si="157"/>
        <v>1650.84268</v>
      </c>
      <c r="BD147" s="35">
        <f t="shared" si="158"/>
        <v>229</v>
      </c>
      <c r="BE147" s="35">
        <v>0</v>
      </c>
      <c r="BF147" s="35">
        <f>147</f>
        <v>147</v>
      </c>
      <c r="BH147" s="64">
        <f t="shared" si="159"/>
        <v>0</v>
      </c>
      <c r="BI147" s="64">
        <f t="shared" si="160"/>
        <v>1650.84268</v>
      </c>
      <c r="BJ147" s="64">
        <f t="shared" si="161"/>
        <v>1650.84268</v>
      </c>
      <c r="BK147" s="64" t="s">
        <v>1790</v>
      </c>
      <c r="BL147" s="35" t="s">
        <v>145</v>
      </c>
    </row>
    <row r="148" spans="1:64">
      <c r="A148" s="47" t="s">
        <v>295</v>
      </c>
      <c r="B148" s="55" t="s">
        <v>60</v>
      </c>
      <c r="C148" s="55" t="s">
        <v>803</v>
      </c>
      <c r="D148" s="165" t="s">
        <v>1207</v>
      </c>
      <c r="E148" s="166"/>
      <c r="F148" s="166"/>
      <c r="G148" s="55" t="s">
        <v>1634</v>
      </c>
      <c r="H148" s="64">
        <v>28.83568</v>
      </c>
      <c r="I148" s="64">
        <v>25</v>
      </c>
      <c r="J148" s="64">
        <f t="shared" si="138"/>
        <v>0</v>
      </c>
      <c r="K148" s="64">
        <f t="shared" si="139"/>
        <v>720.89200000000005</v>
      </c>
      <c r="L148" s="64">
        <f t="shared" si="140"/>
        <v>720.89200000000005</v>
      </c>
      <c r="M148" s="73" t="s">
        <v>1657</v>
      </c>
      <c r="N148" s="19"/>
      <c r="Z148" s="35">
        <f t="shared" si="141"/>
        <v>720.89200000000005</v>
      </c>
      <c r="AB148" s="35">
        <f t="shared" si="142"/>
        <v>0</v>
      </c>
      <c r="AC148" s="35">
        <f t="shared" si="143"/>
        <v>0</v>
      </c>
      <c r="AD148" s="35">
        <f t="shared" si="144"/>
        <v>0</v>
      </c>
      <c r="AE148" s="35">
        <f t="shared" si="145"/>
        <v>0</v>
      </c>
      <c r="AF148" s="35">
        <f t="shared" si="146"/>
        <v>0</v>
      </c>
      <c r="AG148" s="35">
        <f t="shared" si="147"/>
        <v>0</v>
      </c>
      <c r="AH148" s="35">
        <f t="shared" si="148"/>
        <v>0</v>
      </c>
      <c r="AI148" s="77" t="s">
        <v>60</v>
      </c>
      <c r="AJ148" s="64">
        <f t="shared" si="149"/>
        <v>0</v>
      </c>
      <c r="AK148" s="64">
        <f t="shared" si="150"/>
        <v>0</v>
      </c>
      <c r="AL148" s="64">
        <f t="shared" si="151"/>
        <v>720.89200000000005</v>
      </c>
      <c r="AN148" s="35">
        <v>21</v>
      </c>
      <c r="AO148" s="35">
        <f t="shared" si="152"/>
        <v>0</v>
      </c>
      <c r="AP148" s="35">
        <f t="shared" si="153"/>
        <v>25</v>
      </c>
      <c r="AQ148" s="78" t="s">
        <v>112</v>
      </c>
      <c r="AV148" s="35">
        <f t="shared" si="154"/>
        <v>720.89200000000005</v>
      </c>
      <c r="AW148" s="35">
        <f t="shared" si="155"/>
        <v>0</v>
      </c>
      <c r="AX148" s="35">
        <f t="shared" si="156"/>
        <v>720.89200000000005</v>
      </c>
      <c r="AY148" s="80" t="s">
        <v>1684</v>
      </c>
      <c r="AZ148" s="80" t="s">
        <v>1729</v>
      </c>
      <c r="BA148" s="77" t="s">
        <v>1773</v>
      </c>
      <c r="BC148" s="35">
        <f t="shared" si="157"/>
        <v>720.89200000000005</v>
      </c>
      <c r="BD148" s="35">
        <f t="shared" si="158"/>
        <v>25</v>
      </c>
      <c r="BE148" s="35">
        <v>0</v>
      </c>
      <c r="BF148" s="35">
        <f>148</f>
        <v>148</v>
      </c>
      <c r="BH148" s="64">
        <f t="shared" si="159"/>
        <v>0</v>
      </c>
      <c r="BI148" s="64">
        <f t="shared" si="160"/>
        <v>720.89200000000005</v>
      </c>
      <c r="BJ148" s="64">
        <f t="shared" si="161"/>
        <v>720.89200000000005</v>
      </c>
      <c r="BK148" s="64" t="s">
        <v>1790</v>
      </c>
      <c r="BL148" s="35" t="s">
        <v>145</v>
      </c>
    </row>
    <row r="149" spans="1:64">
      <c r="A149" s="47" t="s">
        <v>296</v>
      </c>
      <c r="B149" s="55" t="s">
        <v>60</v>
      </c>
      <c r="C149" s="55" t="s">
        <v>818</v>
      </c>
      <c r="D149" s="165" t="s">
        <v>1222</v>
      </c>
      <c r="E149" s="166"/>
      <c r="F149" s="166"/>
      <c r="G149" s="55" t="s">
        <v>1634</v>
      </c>
      <c r="H149" s="64">
        <v>4.07538</v>
      </c>
      <c r="I149" s="64">
        <v>1566</v>
      </c>
      <c r="J149" s="64">
        <f t="shared" si="138"/>
        <v>0</v>
      </c>
      <c r="K149" s="64">
        <f t="shared" si="139"/>
        <v>6382.0450799999999</v>
      </c>
      <c r="L149" s="64">
        <f t="shared" si="140"/>
        <v>6382.0450799999999</v>
      </c>
      <c r="M149" s="73" t="s">
        <v>1657</v>
      </c>
      <c r="N149" s="19"/>
      <c r="Z149" s="35">
        <f t="shared" si="141"/>
        <v>6382.0450799999999</v>
      </c>
      <c r="AB149" s="35">
        <f t="shared" si="142"/>
        <v>0</v>
      </c>
      <c r="AC149" s="35">
        <f t="shared" si="143"/>
        <v>0</v>
      </c>
      <c r="AD149" s="35">
        <f t="shared" si="144"/>
        <v>0</v>
      </c>
      <c r="AE149" s="35">
        <f t="shared" si="145"/>
        <v>0</v>
      </c>
      <c r="AF149" s="35">
        <f t="shared" si="146"/>
        <v>0</v>
      </c>
      <c r="AG149" s="35">
        <f t="shared" si="147"/>
        <v>0</v>
      </c>
      <c r="AH149" s="35">
        <f t="shared" si="148"/>
        <v>0</v>
      </c>
      <c r="AI149" s="77" t="s">
        <v>60</v>
      </c>
      <c r="AJ149" s="64">
        <f t="shared" si="149"/>
        <v>0</v>
      </c>
      <c r="AK149" s="64">
        <f t="shared" si="150"/>
        <v>0</v>
      </c>
      <c r="AL149" s="64">
        <f t="shared" si="151"/>
        <v>6382.0450799999999</v>
      </c>
      <c r="AN149" s="35">
        <v>21</v>
      </c>
      <c r="AO149" s="35">
        <f t="shared" si="152"/>
        <v>0</v>
      </c>
      <c r="AP149" s="35">
        <f t="shared" si="153"/>
        <v>1566</v>
      </c>
      <c r="AQ149" s="78" t="s">
        <v>112</v>
      </c>
      <c r="AV149" s="35">
        <f t="shared" si="154"/>
        <v>6382.0450799999999</v>
      </c>
      <c r="AW149" s="35">
        <f t="shared" si="155"/>
        <v>0</v>
      </c>
      <c r="AX149" s="35">
        <f t="shared" si="156"/>
        <v>6382.0450799999999</v>
      </c>
      <c r="AY149" s="80" t="s">
        <v>1684</v>
      </c>
      <c r="AZ149" s="80" t="s">
        <v>1729</v>
      </c>
      <c r="BA149" s="77" t="s">
        <v>1773</v>
      </c>
      <c r="BC149" s="35">
        <f t="shared" si="157"/>
        <v>6382.0450799999999</v>
      </c>
      <c r="BD149" s="35">
        <f t="shared" si="158"/>
        <v>1566</v>
      </c>
      <c r="BE149" s="35">
        <v>0</v>
      </c>
      <c r="BF149" s="35">
        <f>149</f>
        <v>149</v>
      </c>
      <c r="BH149" s="64">
        <f t="shared" si="159"/>
        <v>0</v>
      </c>
      <c r="BI149" s="64">
        <f t="shared" si="160"/>
        <v>6382.0450799999999</v>
      </c>
      <c r="BJ149" s="64">
        <f t="shared" si="161"/>
        <v>6382.0450799999999</v>
      </c>
      <c r="BK149" s="64" t="s">
        <v>1790</v>
      </c>
      <c r="BL149" s="35" t="s">
        <v>145</v>
      </c>
    </row>
    <row r="150" spans="1:64">
      <c r="A150" s="47" t="s">
        <v>297</v>
      </c>
      <c r="B150" s="55" t="s">
        <v>60</v>
      </c>
      <c r="C150" s="55" t="s">
        <v>819</v>
      </c>
      <c r="D150" s="165" t="s">
        <v>1223</v>
      </c>
      <c r="E150" s="166"/>
      <c r="F150" s="166"/>
      <c r="G150" s="55" t="s">
        <v>1634</v>
      </c>
      <c r="H150" s="64">
        <v>6.9809999999999997E-2</v>
      </c>
      <c r="I150" s="64">
        <v>1566</v>
      </c>
      <c r="J150" s="64">
        <f t="shared" si="138"/>
        <v>0</v>
      </c>
      <c r="K150" s="64">
        <f t="shared" si="139"/>
        <v>109.32245999999999</v>
      </c>
      <c r="L150" s="64">
        <f t="shared" si="140"/>
        <v>109.32245999999999</v>
      </c>
      <c r="M150" s="73" t="s">
        <v>1657</v>
      </c>
      <c r="N150" s="19"/>
      <c r="Z150" s="35">
        <f t="shared" si="141"/>
        <v>109.32245999999999</v>
      </c>
      <c r="AB150" s="35">
        <f t="shared" si="142"/>
        <v>0</v>
      </c>
      <c r="AC150" s="35">
        <f t="shared" si="143"/>
        <v>0</v>
      </c>
      <c r="AD150" s="35">
        <f t="shared" si="144"/>
        <v>0</v>
      </c>
      <c r="AE150" s="35">
        <f t="shared" si="145"/>
        <v>0</v>
      </c>
      <c r="AF150" s="35">
        <f t="shared" si="146"/>
        <v>0</v>
      </c>
      <c r="AG150" s="35">
        <f t="shared" si="147"/>
        <v>0</v>
      </c>
      <c r="AH150" s="35">
        <f t="shared" si="148"/>
        <v>0</v>
      </c>
      <c r="AI150" s="77" t="s">
        <v>60</v>
      </c>
      <c r="AJ150" s="64">
        <f t="shared" si="149"/>
        <v>0</v>
      </c>
      <c r="AK150" s="64">
        <f t="shared" si="150"/>
        <v>0</v>
      </c>
      <c r="AL150" s="64">
        <f t="shared" si="151"/>
        <v>109.32245999999999</v>
      </c>
      <c r="AN150" s="35">
        <v>21</v>
      </c>
      <c r="AO150" s="35">
        <f t="shared" si="152"/>
        <v>0</v>
      </c>
      <c r="AP150" s="35">
        <f t="shared" si="153"/>
        <v>1566</v>
      </c>
      <c r="AQ150" s="78" t="s">
        <v>112</v>
      </c>
      <c r="AV150" s="35">
        <f t="shared" si="154"/>
        <v>109.32245999999999</v>
      </c>
      <c r="AW150" s="35">
        <f t="shared" si="155"/>
        <v>0</v>
      </c>
      <c r="AX150" s="35">
        <f t="shared" si="156"/>
        <v>109.32245999999999</v>
      </c>
      <c r="AY150" s="80" t="s">
        <v>1684</v>
      </c>
      <c r="AZ150" s="80" t="s">
        <v>1729</v>
      </c>
      <c r="BA150" s="77" t="s">
        <v>1773</v>
      </c>
      <c r="BC150" s="35">
        <f t="shared" si="157"/>
        <v>109.32245999999999</v>
      </c>
      <c r="BD150" s="35">
        <f t="shared" si="158"/>
        <v>1566</v>
      </c>
      <c r="BE150" s="35">
        <v>0</v>
      </c>
      <c r="BF150" s="35">
        <f>150</f>
        <v>150</v>
      </c>
      <c r="BH150" s="64">
        <f t="shared" si="159"/>
        <v>0</v>
      </c>
      <c r="BI150" s="64">
        <f t="shared" si="160"/>
        <v>109.32245999999999</v>
      </c>
      <c r="BJ150" s="64">
        <f t="shared" si="161"/>
        <v>109.32245999999999</v>
      </c>
      <c r="BK150" s="64" t="s">
        <v>1790</v>
      </c>
      <c r="BL150" s="35" t="s">
        <v>145</v>
      </c>
    </row>
    <row r="151" spans="1:64">
      <c r="A151" s="46"/>
      <c r="B151" s="54" t="s">
        <v>60</v>
      </c>
      <c r="C151" s="54" t="s">
        <v>146</v>
      </c>
      <c r="D151" s="163" t="s">
        <v>197</v>
      </c>
      <c r="E151" s="164"/>
      <c r="F151" s="164"/>
      <c r="G151" s="61" t="s">
        <v>57</v>
      </c>
      <c r="H151" s="61" t="s">
        <v>57</v>
      </c>
      <c r="I151" s="61" t="s">
        <v>57</v>
      </c>
      <c r="J151" s="83">
        <f>SUM(J152:J154)</f>
        <v>0</v>
      </c>
      <c r="K151" s="83">
        <f>SUM(K152:K154)</f>
        <v>284375.46162000002</v>
      </c>
      <c r="L151" s="83">
        <f>SUM(L152:L154)</f>
        <v>284375.46162000002</v>
      </c>
      <c r="M151" s="72"/>
      <c r="N151" s="19"/>
      <c r="AI151" s="77" t="s">
        <v>60</v>
      </c>
      <c r="AS151" s="83">
        <f>SUM(AJ152:AJ154)</f>
        <v>0</v>
      </c>
      <c r="AT151" s="83">
        <f>SUM(AK152:AK154)</f>
        <v>0</v>
      </c>
      <c r="AU151" s="83">
        <f>SUM(AL152:AL154)</f>
        <v>284375.46162000002</v>
      </c>
    </row>
    <row r="152" spans="1:64">
      <c r="A152" s="47" t="s">
        <v>298</v>
      </c>
      <c r="B152" s="55" t="s">
        <v>60</v>
      </c>
      <c r="C152" s="55" t="s">
        <v>820</v>
      </c>
      <c r="D152" s="165" t="s">
        <v>1224</v>
      </c>
      <c r="E152" s="166"/>
      <c r="F152" s="166"/>
      <c r="G152" s="55" t="s">
        <v>1632</v>
      </c>
      <c r="H152" s="64">
        <v>1018.845</v>
      </c>
      <c r="I152" s="64">
        <v>14</v>
      </c>
      <c r="J152" s="64">
        <f>H152*AO152</f>
        <v>0</v>
      </c>
      <c r="K152" s="64">
        <f>H152*AP152</f>
        <v>14263.83</v>
      </c>
      <c r="L152" s="64">
        <f>H152*I152</f>
        <v>14263.83</v>
      </c>
      <c r="M152" s="73" t="s">
        <v>1657</v>
      </c>
      <c r="N152" s="19"/>
      <c r="Z152" s="35">
        <f>IF(AQ152="5",BJ152,0)</f>
        <v>0</v>
      </c>
      <c r="AB152" s="35">
        <f>IF(AQ152="1",BH152,0)</f>
        <v>0</v>
      </c>
      <c r="AC152" s="35">
        <f>IF(AQ152="1",BI152,0)</f>
        <v>0</v>
      </c>
      <c r="AD152" s="35">
        <f>IF(AQ152="7",BH152,0)</f>
        <v>0</v>
      </c>
      <c r="AE152" s="35">
        <f>IF(AQ152="7",BI152,0)</f>
        <v>14263.83</v>
      </c>
      <c r="AF152" s="35">
        <f>IF(AQ152="2",BH152,0)</f>
        <v>0</v>
      </c>
      <c r="AG152" s="35">
        <f>IF(AQ152="2",BI152,0)</f>
        <v>0</v>
      </c>
      <c r="AH152" s="35">
        <f>IF(AQ152="0",BJ152,0)</f>
        <v>0</v>
      </c>
      <c r="AI152" s="77" t="s">
        <v>60</v>
      </c>
      <c r="AJ152" s="64">
        <f>IF(AN152=0,L152,0)</f>
        <v>0</v>
      </c>
      <c r="AK152" s="64">
        <f>IF(AN152=15,L152,0)</f>
        <v>0</v>
      </c>
      <c r="AL152" s="64">
        <f>IF(AN152=21,L152,0)</f>
        <v>14263.83</v>
      </c>
      <c r="AN152" s="35">
        <v>21</v>
      </c>
      <c r="AO152" s="35">
        <f>I152*0</f>
        <v>0</v>
      </c>
      <c r="AP152" s="35">
        <f>I152*(1-0)</f>
        <v>14</v>
      </c>
      <c r="AQ152" s="78" t="s">
        <v>235</v>
      </c>
      <c r="AV152" s="35">
        <f>AW152+AX152</f>
        <v>14263.83</v>
      </c>
      <c r="AW152" s="35">
        <f>H152*AO152</f>
        <v>0</v>
      </c>
      <c r="AX152" s="35">
        <f>H152*AP152</f>
        <v>14263.83</v>
      </c>
      <c r="AY152" s="80" t="s">
        <v>1685</v>
      </c>
      <c r="AZ152" s="80" t="s">
        <v>1730</v>
      </c>
      <c r="BA152" s="77" t="s">
        <v>1773</v>
      </c>
      <c r="BC152" s="35">
        <f>AW152+AX152</f>
        <v>14263.83</v>
      </c>
      <c r="BD152" s="35">
        <f>I152/(100-BE152)*100</f>
        <v>14.000000000000002</v>
      </c>
      <c r="BE152" s="35">
        <v>0</v>
      </c>
      <c r="BF152" s="35">
        <f>152</f>
        <v>152</v>
      </c>
      <c r="BH152" s="64">
        <f>H152*AO152</f>
        <v>0</v>
      </c>
      <c r="BI152" s="64">
        <f>H152*AP152</f>
        <v>14263.83</v>
      </c>
      <c r="BJ152" s="64">
        <f>H152*I152</f>
        <v>14263.83</v>
      </c>
      <c r="BK152" s="64" t="s">
        <v>1790</v>
      </c>
      <c r="BL152" s="35">
        <v>713</v>
      </c>
    </row>
    <row r="153" spans="1:64">
      <c r="A153" s="47" t="s">
        <v>299</v>
      </c>
      <c r="B153" s="55" t="s">
        <v>60</v>
      </c>
      <c r="C153" s="55" t="s">
        <v>821</v>
      </c>
      <c r="D153" s="165" t="s">
        <v>1225</v>
      </c>
      <c r="E153" s="166"/>
      <c r="F153" s="166"/>
      <c r="G153" s="55" t="s">
        <v>1638</v>
      </c>
      <c r="H153" s="64">
        <v>305.65350000000001</v>
      </c>
      <c r="I153" s="64">
        <v>848</v>
      </c>
      <c r="J153" s="64">
        <f>H153*AO153</f>
        <v>0</v>
      </c>
      <c r="K153" s="64">
        <f>H153*AP153</f>
        <v>259194.16800000001</v>
      </c>
      <c r="L153" s="64">
        <f>H153*I153</f>
        <v>259194.16800000001</v>
      </c>
      <c r="M153" s="73" t="s">
        <v>1657</v>
      </c>
      <c r="N153" s="19"/>
      <c r="Z153" s="35">
        <f>IF(AQ153="5",BJ153,0)</f>
        <v>0</v>
      </c>
      <c r="AB153" s="35">
        <f>IF(AQ153="1",BH153,0)</f>
        <v>0</v>
      </c>
      <c r="AC153" s="35">
        <f>IF(AQ153="1",BI153,0)</f>
        <v>0</v>
      </c>
      <c r="AD153" s="35">
        <f>IF(AQ153="7",BH153,0)</f>
        <v>0</v>
      </c>
      <c r="AE153" s="35">
        <f>IF(AQ153="7",BI153,0)</f>
        <v>259194.16800000001</v>
      </c>
      <c r="AF153" s="35">
        <f>IF(AQ153="2",BH153,0)</f>
        <v>0</v>
      </c>
      <c r="AG153" s="35">
        <f>IF(AQ153="2",BI153,0)</f>
        <v>0</v>
      </c>
      <c r="AH153" s="35">
        <f>IF(AQ153="0",BJ153,0)</f>
        <v>0</v>
      </c>
      <c r="AI153" s="77" t="s">
        <v>60</v>
      </c>
      <c r="AJ153" s="64">
        <f>IF(AN153=0,L153,0)</f>
        <v>0</v>
      </c>
      <c r="AK153" s="64">
        <f>IF(AN153=15,L153,0)</f>
        <v>0</v>
      </c>
      <c r="AL153" s="64">
        <f>IF(AN153=21,L153,0)</f>
        <v>259194.16800000001</v>
      </c>
      <c r="AN153" s="35">
        <v>21</v>
      </c>
      <c r="AO153" s="35">
        <f>I153*0</f>
        <v>0</v>
      </c>
      <c r="AP153" s="35">
        <f>I153*(1-0)</f>
        <v>848</v>
      </c>
      <c r="AQ153" s="78" t="s">
        <v>235</v>
      </c>
      <c r="AV153" s="35">
        <f>AW153+AX153</f>
        <v>259194.16800000001</v>
      </c>
      <c r="AW153" s="35">
        <f>H153*AO153</f>
        <v>0</v>
      </c>
      <c r="AX153" s="35">
        <f>H153*AP153</f>
        <v>259194.16800000001</v>
      </c>
      <c r="AY153" s="80" t="s">
        <v>1685</v>
      </c>
      <c r="AZ153" s="80" t="s">
        <v>1730</v>
      </c>
      <c r="BA153" s="77" t="s">
        <v>1773</v>
      </c>
      <c r="BC153" s="35">
        <f>AW153+AX153</f>
        <v>259194.16800000001</v>
      </c>
      <c r="BD153" s="35">
        <f>I153/(100-BE153)*100</f>
        <v>848</v>
      </c>
      <c r="BE153" s="35">
        <v>0</v>
      </c>
      <c r="BF153" s="35">
        <f>153</f>
        <v>153</v>
      </c>
      <c r="BH153" s="64">
        <f>H153*AO153</f>
        <v>0</v>
      </c>
      <c r="BI153" s="64">
        <f>H153*AP153</f>
        <v>259194.16800000001</v>
      </c>
      <c r="BJ153" s="64">
        <f>H153*I153</f>
        <v>259194.16800000001</v>
      </c>
      <c r="BK153" s="64" t="s">
        <v>1790</v>
      </c>
      <c r="BL153" s="35">
        <v>713</v>
      </c>
    </row>
    <row r="154" spans="1:64">
      <c r="A154" s="47" t="s">
        <v>300</v>
      </c>
      <c r="B154" s="55" t="s">
        <v>60</v>
      </c>
      <c r="C154" s="55" t="s">
        <v>822</v>
      </c>
      <c r="D154" s="165" t="s">
        <v>1226</v>
      </c>
      <c r="E154" s="166"/>
      <c r="F154" s="166"/>
      <c r="G154" s="55" t="s">
        <v>1634</v>
      </c>
      <c r="H154" s="64">
        <v>16.591889999999999</v>
      </c>
      <c r="I154" s="64">
        <v>658</v>
      </c>
      <c r="J154" s="64">
        <f>H154*AO154</f>
        <v>0</v>
      </c>
      <c r="K154" s="64">
        <f>H154*AP154</f>
        <v>10917.46362</v>
      </c>
      <c r="L154" s="64">
        <f>H154*I154</f>
        <v>10917.46362</v>
      </c>
      <c r="M154" s="73" t="s">
        <v>1657</v>
      </c>
      <c r="N154" s="19"/>
      <c r="Z154" s="35">
        <f>IF(AQ154="5",BJ154,0)</f>
        <v>10917.46362</v>
      </c>
      <c r="AB154" s="35">
        <f>IF(AQ154="1",BH154,0)</f>
        <v>0</v>
      </c>
      <c r="AC154" s="35">
        <f>IF(AQ154="1",BI154,0)</f>
        <v>0</v>
      </c>
      <c r="AD154" s="35">
        <f>IF(AQ154="7",BH154,0)</f>
        <v>0</v>
      </c>
      <c r="AE154" s="35">
        <f>IF(AQ154="7",BI154,0)</f>
        <v>0</v>
      </c>
      <c r="AF154" s="35">
        <f>IF(AQ154="2",BH154,0)</f>
        <v>0</v>
      </c>
      <c r="AG154" s="35">
        <f>IF(AQ154="2",BI154,0)</f>
        <v>0</v>
      </c>
      <c r="AH154" s="35">
        <f>IF(AQ154="0",BJ154,0)</f>
        <v>0</v>
      </c>
      <c r="AI154" s="77" t="s">
        <v>60</v>
      </c>
      <c r="AJ154" s="64">
        <f>IF(AN154=0,L154,0)</f>
        <v>0</v>
      </c>
      <c r="AK154" s="64">
        <f>IF(AN154=15,L154,0)</f>
        <v>0</v>
      </c>
      <c r="AL154" s="64">
        <f>IF(AN154=21,L154,0)</f>
        <v>10917.46362</v>
      </c>
      <c r="AN154" s="35">
        <v>21</v>
      </c>
      <c r="AO154" s="35">
        <f>I154*0</f>
        <v>0</v>
      </c>
      <c r="AP154" s="35">
        <f>I154*(1-0)</f>
        <v>658</v>
      </c>
      <c r="AQ154" s="78" t="s">
        <v>112</v>
      </c>
      <c r="AV154" s="35">
        <f>AW154+AX154</f>
        <v>10917.46362</v>
      </c>
      <c r="AW154" s="35">
        <f>H154*AO154</f>
        <v>0</v>
      </c>
      <c r="AX154" s="35">
        <f>H154*AP154</f>
        <v>10917.46362</v>
      </c>
      <c r="AY154" s="80" t="s">
        <v>1685</v>
      </c>
      <c r="AZ154" s="80" t="s">
        <v>1730</v>
      </c>
      <c r="BA154" s="77" t="s">
        <v>1773</v>
      </c>
      <c r="BC154" s="35">
        <f>AW154+AX154</f>
        <v>10917.46362</v>
      </c>
      <c r="BD154" s="35">
        <f>I154/(100-BE154)*100</f>
        <v>658</v>
      </c>
      <c r="BE154" s="35">
        <v>0</v>
      </c>
      <c r="BF154" s="35">
        <f>154</f>
        <v>154</v>
      </c>
      <c r="BH154" s="64">
        <f>H154*AO154</f>
        <v>0</v>
      </c>
      <c r="BI154" s="64">
        <f>H154*AP154</f>
        <v>10917.46362</v>
      </c>
      <c r="BJ154" s="64">
        <f>H154*I154</f>
        <v>10917.46362</v>
      </c>
      <c r="BK154" s="64" t="s">
        <v>1790</v>
      </c>
      <c r="BL154" s="35">
        <v>713</v>
      </c>
    </row>
    <row r="155" spans="1:64">
      <c r="A155" s="46"/>
      <c r="B155" s="54" t="s">
        <v>60</v>
      </c>
      <c r="C155" s="54" t="s">
        <v>147</v>
      </c>
      <c r="D155" s="163" t="s">
        <v>198</v>
      </c>
      <c r="E155" s="164"/>
      <c r="F155" s="164"/>
      <c r="G155" s="61" t="s">
        <v>57</v>
      </c>
      <c r="H155" s="61" t="s">
        <v>57</v>
      </c>
      <c r="I155" s="61" t="s">
        <v>57</v>
      </c>
      <c r="J155" s="83">
        <f>SUM(J156:J157)</f>
        <v>0</v>
      </c>
      <c r="K155" s="83">
        <f>SUM(K156:K157)</f>
        <v>102581.61874000001</v>
      </c>
      <c r="L155" s="83">
        <f>SUM(L156:L157)</f>
        <v>102581.61874000001</v>
      </c>
      <c r="M155" s="72"/>
      <c r="N155" s="19"/>
      <c r="AI155" s="77" t="s">
        <v>60</v>
      </c>
      <c r="AS155" s="83">
        <f>SUM(AJ156:AJ157)</f>
        <v>0</v>
      </c>
      <c r="AT155" s="83">
        <f>SUM(AK156:AK157)</f>
        <v>0</v>
      </c>
      <c r="AU155" s="83">
        <f>SUM(AL156:AL157)</f>
        <v>102581.61874000001</v>
      </c>
    </row>
    <row r="156" spans="1:64">
      <c r="A156" s="47" t="s">
        <v>301</v>
      </c>
      <c r="B156" s="55" t="s">
        <v>60</v>
      </c>
      <c r="C156" s="55" t="s">
        <v>823</v>
      </c>
      <c r="D156" s="165" t="s">
        <v>1227</v>
      </c>
      <c r="E156" s="166"/>
      <c r="F156" s="166"/>
      <c r="G156" s="55" t="s">
        <v>1631</v>
      </c>
      <c r="H156" s="64">
        <v>23</v>
      </c>
      <c r="I156" s="64">
        <v>4451</v>
      </c>
      <c r="J156" s="64">
        <f>H156*AO156</f>
        <v>0</v>
      </c>
      <c r="K156" s="64">
        <f>H156*AP156</f>
        <v>102373</v>
      </c>
      <c r="L156" s="64">
        <f>H156*I156</f>
        <v>102373</v>
      </c>
      <c r="M156" s="73" t="s">
        <v>1657</v>
      </c>
      <c r="N156" s="19"/>
      <c r="Z156" s="35">
        <f>IF(AQ156="5",BJ156,0)</f>
        <v>0</v>
      </c>
      <c r="AB156" s="35">
        <f>IF(AQ156="1",BH156,0)</f>
        <v>0</v>
      </c>
      <c r="AC156" s="35">
        <f>IF(AQ156="1",BI156,0)</f>
        <v>0</v>
      </c>
      <c r="AD156" s="35">
        <f>IF(AQ156="7",BH156,0)</f>
        <v>0</v>
      </c>
      <c r="AE156" s="35">
        <f>IF(AQ156="7",BI156,0)</f>
        <v>102373</v>
      </c>
      <c r="AF156" s="35">
        <f>IF(AQ156="2",BH156,0)</f>
        <v>0</v>
      </c>
      <c r="AG156" s="35">
        <f>IF(AQ156="2",BI156,0)</f>
        <v>0</v>
      </c>
      <c r="AH156" s="35">
        <f>IF(AQ156="0",BJ156,0)</f>
        <v>0</v>
      </c>
      <c r="AI156" s="77" t="s">
        <v>60</v>
      </c>
      <c r="AJ156" s="64">
        <f>IF(AN156=0,L156,0)</f>
        <v>0</v>
      </c>
      <c r="AK156" s="64">
        <f>IF(AN156=15,L156,0)</f>
        <v>0</v>
      </c>
      <c r="AL156" s="64">
        <f>IF(AN156=21,L156,0)</f>
        <v>102373</v>
      </c>
      <c r="AN156" s="35">
        <v>21</v>
      </c>
      <c r="AO156" s="35">
        <f>I156*0</f>
        <v>0</v>
      </c>
      <c r="AP156" s="35">
        <f>I156*(1-0)</f>
        <v>4451</v>
      </c>
      <c r="AQ156" s="78" t="s">
        <v>235</v>
      </c>
      <c r="AV156" s="35">
        <f>AW156+AX156</f>
        <v>102373</v>
      </c>
      <c r="AW156" s="35">
        <f>H156*AO156</f>
        <v>0</v>
      </c>
      <c r="AX156" s="35">
        <f>H156*AP156</f>
        <v>102373</v>
      </c>
      <c r="AY156" s="80" t="s">
        <v>1686</v>
      </c>
      <c r="AZ156" s="80" t="s">
        <v>1731</v>
      </c>
      <c r="BA156" s="77" t="s">
        <v>1773</v>
      </c>
      <c r="BC156" s="35">
        <f>AW156+AX156</f>
        <v>102373</v>
      </c>
      <c r="BD156" s="35">
        <f>I156/(100-BE156)*100</f>
        <v>4451</v>
      </c>
      <c r="BE156" s="35">
        <v>0</v>
      </c>
      <c r="BF156" s="35">
        <f>156</f>
        <v>156</v>
      </c>
      <c r="BH156" s="64">
        <f>H156*AO156</f>
        <v>0</v>
      </c>
      <c r="BI156" s="64">
        <f>H156*AP156</f>
        <v>102373</v>
      </c>
      <c r="BJ156" s="64">
        <f>H156*I156</f>
        <v>102373</v>
      </c>
      <c r="BK156" s="64" t="s">
        <v>1790</v>
      </c>
      <c r="BL156" s="35">
        <v>728</v>
      </c>
    </row>
    <row r="157" spans="1:64">
      <c r="A157" s="47" t="s">
        <v>302</v>
      </c>
      <c r="B157" s="55" t="s">
        <v>60</v>
      </c>
      <c r="C157" s="55" t="s">
        <v>824</v>
      </c>
      <c r="D157" s="165" t="s">
        <v>1228</v>
      </c>
      <c r="E157" s="166"/>
      <c r="F157" s="166"/>
      <c r="G157" s="55" t="s">
        <v>1634</v>
      </c>
      <c r="H157" s="64">
        <v>6.8309999999999996E-2</v>
      </c>
      <c r="I157" s="64">
        <v>3054</v>
      </c>
      <c r="J157" s="64">
        <f>H157*AO157</f>
        <v>0</v>
      </c>
      <c r="K157" s="64">
        <f>H157*AP157</f>
        <v>208.61873999999997</v>
      </c>
      <c r="L157" s="64">
        <f>H157*I157</f>
        <v>208.61873999999997</v>
      </c>
      <c r="M157" s="73" t="s">
        <v>1657</v>
      </c>
      <c r="N157" s="19"/>
      <c r="Z157" s="35">
        <f>IF(AQ157="5",BJ157,0)</f>
        <v>208.61873999999997</v>
      </c>
      <c r="AB157" s="35">
        <f>IF(AQ157="1",BH157,0)</f>
        <v>0</v>
      </c>
      <c r="AC157" s="35">
        <f>IF(AQ157="1",BI157,0)</f>
        <v>0</v>
      </c>
      <c r="AD157" s="35">
        <f>IF(AQ157="7",BH157,0)</f>
        <v>0</v>
      </c>
      <c r="AE157" s="35">
        <f>IF(AQ157="7",BI157,0)</f>
        <v>0</v>
      </c>
      <c r="AF157" s="35">
        <f>IF(AQ157="2",BH157,0)</f>
        <v>0</v>
      </c>
      <c r="AG157" s="35">
        <f>IF(AQ157="2",BI157,0)</f>
        <v>0</v>
      </c>
      <c r="AH157" s="35">
        <f>IF(AQ157="0",BJ157,0)</f>
        <v>0</v>
      </c>
      <c r="AI157" s="77" t="s">
        <v>60</v>
      </c>
      <c r="AJ157" s="64">
        <f>IF(AN157=0,L157,0)</f>
        <v>0</v>
      </c>
      <c r="AK157" s="64">
        <f>IF(AN157=15,L157,0)</f>
        <v>0</v>
      </c>
      <c r="AL157" s="64">
        <f>IF(AN157=21,L157,0)</f>
        <v>208.61873999999997</v>
      </c>
      <c r="AN157" s="35">
        <v>21</v>
      </c>
      <c r="AO157" s="35">
        <f>I157*0</f>
        <v>0</v>
      </c>
      <c r="AP157" s="35">
        <f>I157*(1-0)</f>
        <v>3054</v>
      </c>
      <c r="AQ157" s="78" t="s">
        <v>112</v>
      </c>
      <c r="AV157" s="35">
        <f>AW157+AX157</f>
        <v>208.61873999999997</v>
      </c>
      <c r="AW157" s="35">
        <f>H157*AO157</f>
        <v>0</v>
      </c>
      <c r="AX157" s="35">
        <f>H157*AP157</f>
        <v>208.61873999999997</v>
      </c>
      <c r="AY157" s="80" t="s">
        <v>1686</v>
      </c>
      <c r="AZ157" s="80" t="s">
        <v>1731</v>
      </c>
      <c r="BA157" s="77" t="s">
        <v>1773</v>
      </c>
      <c r="BC157" s="35">
        <f>AW157+AX157</f>
        <v>208.61873999999997</v>
      </c>
      <c r="BD157" s="35">
        <f>I157/(100-BE157)*100</f>
        <v>3054</v>
      </c>
      <c r="BE157" s="35">
        <v>0</v>
      </c>
      <c r="BF157" s="35">
        <f>157</f>
        <v>157</v>
      </c>
      <c r="BH157" s="64">
        <f>H157*AO157</f>
        <v>0</v>
      </c>
      <c r="BI157" s="64">
        <f>H157*AP157</f>
        <v>208.61873999999997</v>
      </c>
      <c r="BJ157" s="64">
        <f>H157*I157</f>
        <v>208.61873999999997</v>
      </c>
      <c r="BK157" s="64" t="s">
        <v>1790</v>
      </c>
      <c r="BL157" s="35">
        <v>728</v>
      </c>
    </row>
    <row r="158" spans="1:64">
      <c r="A158" s="46"/>
      <c r="B158" s="54" t="s">
        <v>60</v>
      </c>
      <c r="C158" s="54" t="s">
        <v>148</v>
      </c>
      <c r="D158" s="163" t="s">
        <v>199</v>
      </c>
      <c r="E158" s="164"/>
      <c r="F158" s="164"/>
      <c r="G158" s="61" t="s">
        <v>57</v>
      </c>
      <c r="H158" s="61" t="s">
        <v>57</v>
      </c>
      <c r="I158" s="61" t="s">
        <v>57</v>
      </c>
      <c r="J158" s="83">
        <f>SUM(J159:J166)</f>
        <v>19338</v>
      </c>
      <c r="K158" s="83">
        <f>SUM(K159:K166)</f>
        <v>11389.084589999999</v>
      </c>
      <c r="L158" s="83">
        <f>SUM(L159:L166)</f>
        <v>30727.084590000002</v>
      </c>
      <c r="M158" s="72"/>
      <c r="N158" s="19"/>
      <c r="AI158" s="77" t="s">
        <v>60</v>
      </c>
      <c r="AS158" s="83">
        <f>SUM(AJ159:AJ166)</f>
        <v>0</v>
      </c>
      <c r="AT158" s="83">
        <f>SUM(AK159:AK166)</f>
        <v>0</v>
      </c>
      <c r="AU158" s="83">
        <f>SUM(AL159:AL166)</f>
        <v>30727.084590000002</v>
      </c>
    </row>
    <row r="159" spans="1:64">
      <c r="A159" s="47" t="s">
        <v>303</v>
      </c>
      <c r="B159" s="55" t="s">
        <v>60</v>
      </c>
      <c r="C159" s="55" t="s">
        <v>825</v>
      </c>
      <c r="D159" s="165" t="s">
        <v>1229</v>
      </c>
      <c r="E159" s="166"/>
      <c r="F159" s="166"/>
      <c r="G159" s="55" t="s">
        <v>1632</v>
      </c>
      <c r="H159" s="64">
        <v>8.44</v>
      </c>
      <c r="I159" s="64">
        <v>93</v>
      </c>
      <c r="J159" s="64">
        <f>H159*AO159</f>
        <v>0</v>
      </c>
      <c r="K159" s="64">
        <f>H159*AP159</f>
        <v>784.92</v>
      </c>
      <c r="L159" s="64">
        <f>H159*I159</f>
        <v>784.92</v>
      </c>
      <c r="M159" s="73" t="s">
        <v>1657</v>
      </c>
      <c r="N159" s="19"/>
      <c r="Z159" s="35">
        <f>IF(AQ159="5",BJ159,0)</f>
        <v>0</v>
      </c>
      <c r="AB159" s="35">
        <f>IF(AQ159="1",BH159,0)</f>
        <v>0</v>
      </c>
      <c r="AC159" s="35">
        <f>IF(AQ159="1",BI159,0)</f>
        <v>0</v>
      </c>
      <c r="AD159" s="35">
        <f>IF(AQ159="7",BH159,0)</f>
        <v>0</v>
      </c>
      <c r="AE159" s="35">
        <f>IF(AQ159="7",BI159,0)</f>
        <v>784.92</v>
      </c>
      <c r="AF159" s="35">
        <f>IF(AQ159="2",BH159,0)</f>
        <v>0</v>
      </c>
      <c r="AG159" s="35">
        <f>IF(AQ159="2",BI159,0)</f>
        <v>0</v>
      </c>
      <c r="AH159" s="35">
        <f>IF(AQ159="0",BJ159,0)</f>
        <v>0</v>
      </c>
      <c r="AI159" s="77" t="s">
        <v>60</v>
      </c>
      <c r="AJ159" s="64">
        <f>IF(AN159=0,L159,0)</f>
        <v>0</v>
      </c>
      <c r="AK159" s="64">
        <f>IF(AN159=15,L159,0)</f>
        <v>0</v>
      </c>
      <c r="AL159" s="64">
        <f>IF(AN159=21,L159,0)</f>
        <v>784.92</v>
      </c>
      <c r="AN159" s="35">
        <v>21</v>
      </c>
      <c r="AO159" s="35">
        <f>I159*0</f>
        <v>0</v>
      </c>
      <c r="AP159" s="35">
        <f>I159*(1-0)</f>
        <v>93</v>
      </c>
      <c r="AQ159" s="78" t="s">
        <v>235</v>
      </c>
      <c r="AV159" s="35">
        <f>AW159+AX159</f>
        <v>784.92</v>
      </c>
      <c r="AW159" s="35">
        <f>H159*AO159</f>
        <v>0</v>
      </c>
      <c r="AX159" s="35">
        <f>H159*AP159</f>
        <v>784.92</v>
      </c>
      <c r="AY159" s="80" t="s">
        <v>1687</v>
      </c>
      <c r="AZ159" s="80" t="s">
        <v>1728</v>
      </c>
      <c r="BA159" s="77" t="s">
        <v>1773</v>
      </c>
      <c r="BC159" s="35">
        <f>AW159+AX159</f>
        <v>784.92</v>
      </c>
      <c r="BD159" s="35">
        <f>I159/(100-BE159)*100</f>
        <v>93</v>
      </c>
      <c r="BE159" s="35">
        <v>0</v>
      </c>
      <c r="BF159" s="35">
        <f>159</f>
        <v>159</v>
      </c>
      <c r="BH159" s="64">
        <f>H159*AO159</f>
        <v>0</v>
      </c>
      <c r="BI159" s="64">
        <f>H159*AP159</f>
        <v>784.92</v>
      </c>
      <c r="BJ159" s="64">
        <f>H159*I159</f>
        <v>784.92</v>
      </c>
      <c r="BK159" s="64" t="s">
        <v>1790</v>
      </c>
      <c r="BL159" s="35">
        <v>762</v>
      </c>
    </row>
    <row r="160" spans="1:64">
      <c r="A160" s="19"/>
      <c r="C160" s="59" t="s">
        <v>730</v>
      </c>
      <c r="D160" s="167" t="s">
        <v>1230</v>
      </c>
      <c r="E160" s="168"/>
      <c r="F160" s="168"/>
      <c r="G160" s="168"/>
      <c r="H160" s="168"/>
      <c r="I160" s="168"/>
      <c r="J160" s="168"/>
      <c r="K160" s="168"/>
      <c r="L160" s="168"/>
      <c r="M160" s="169"/>
      <c r="N160" s="19"/>
    </row>
    <row r="161" spans="1:64">
      <c r="A161" s="47" t="s">
        <v>304</v>
      </c>
      <c r="B161" s="55" t="s">
        <v>60</v>
      </c>
      <c r="C161" s="55" t="s">
        <v>826</v>
      </c>
      <c r="D161" s="165" t="s">
        <v>1231</v>
      </c>
      <c r="E161" s="166"/>
      <c r="F161" s="166"/>
      <c r="G161" s="55" t="s">
        <v>1632</v>
      </c>
      <c r="H161" s="64">
        <v>5.2249499999999998</v>
      </c>
      <c r="I161" s="64">
        <v>446</v>
      </c>
      <c r="J161" s="64">
        <f>H161*AO161</f>
        <v>0</v>
      </c>
      <c r="K161" s="64">
        <f>H161*AP161</f>
        <v>2330.3276999999998</v>
      </c>
      <c r="L161" s="64">
        <f>H161*I161</f>
        <v>2330.3276999999998</v>
      </c>
      <c r="M161" s="73" t="s">
        <v>1657</v>
      </c>
      <c r="N161" s="19"/>
      <c r="Z161" s="35">
        <f>IF(AQ161="5",BJ161,0)</f>
        <v>0</v>
      </c>
      <c r="AB161" s="35">
        <f>IF(AQ161="1",BH161,0)</f>
        <v>0</v>
      </c>
      <c r="AC161" s="35">
        <f>IF(AQ161="1",BI161,0)</f>
        <v>0</v>
      </c>
      <c r="AD161" s="35">
        <f>IF(AQ161="7",BH161,0)</f>
        <v>0</v>
      </c>
      <c r="AE161" s="35">
        <f>IF(AQ161="7",BI161,0)</f>
        <v>2330.3276999999998</v>
      </c>
      <c r="AF161" s="35">
        <f>IF(AQ161="2",BH161,0)</f>
        <v>0</v>
      </c>
      <c r="AG161" s="35">
        <f>IF(AQ161="2",BI161,0)</f>
        <v>0</v>
      </c>
      <c r="AH161" s="35">
        <f>IF(AQ161="0",BJ161,0)</f>
        <v>0</v>
      </c>
      <c r="AI161" s="77" t="s">
        <v>60</v>
      </c>
      <c r="AJ161" s="64">
        <f>IF(AN161=0,L161,0)</f>
        <v>0</v>
      </c>
      <c r="AK161" s="64">
        <f>IF(AN161=15,L161,0)</f>
        <v>0</v>
      </c>
      <c r="AL161" s="64">
        <f>IF(AN161=21,L161,0)</f>
        <v>2330.3276999999998</v>
      </c>
      <c r="AN161" s="35">
        <v>21</v>
      </c>
      <c r="AO161" s="35">
        <f>I161*0</f>
        <v>0</v>
      </c>
      <c r="AP161" s="35">
        <f>I161*(1-0)</f>
        <v>446</v>
      </c>
      <c r="AQ161" s="78" t="s">
        <v>235</v>
      </c>
      <c r="AV161" s="35">
        <f>AW161+AX161</f>
        <v>2330.3276999999998</v>
      </c>
      <c r="AW161" s="35">
        <f>H161*AO161</f>
        <v>0</v>
      </c>
      <c r="AX161" s="35">
        <f>H161*AP161</f>
        <v>2330.3276999999998</v>
      </c>
      <c r="AY161" s="80" t="s">
        <v>1687</v>
      </c>
      <c r="AZ161" s="80" t="s">
        <v>1728</v>
      </c>
      <c r="BA161" s="77" t="s">
        <v>1773</v>
      </c>
      <c r="BC161" s="35">
        <f>AW161+AX161</f>
        <v>2330.3276999999998</v>
      </c>
      <c r="BD161" s="35">
        <f>I161/(100-BE161)*100</f>
        <v>446</v>
      </c>
      <c r="BE161" s="35">
        <v>0</v>
      </c>
      <c r="BF161" s="35">
        <f>161</f>
        <v>161</v>
      </c>
      <c r="BH161" s="64">
        <f>H161*AO161</f>
        <v>0</v>
      </c>
      <c r="BI161" s="64">
        <f>H161*AP161</f>
        <v>2330.3276999999998</v>
      </c>
      <c r="BJ161" s="64">
        <f>H161*I161</f>
        <v>2330.3276999999998</v>
      </c>
      <c r="BK161" s="64" t="s">
        <v>1790</v>
      </c>
      <c r="BL161" s="35">
        <v>762</v>
      </c>
    </row>
    <row r="162" spans="1:64">
      <c r="A162" s="47" t="s">
        <v>305</v>
      </c>
      <c r="B162" s="55" t="s">
        <v>60</v>
      </c>
      <c r="C162" s="55" t="s">
        <v>827</v>
      </c>
      <c r="D162" s="165" t="s">
        <v>1232</v>
      </c>
      <c r="E162" s="166"/>
      <c r="F162" s="166"/>
      <c r="G162" s="55" t="s">
        <v>1632</v>
      </c>
      <c r="H162" s="64">
        <v>1.8</v>
      </c>
      <c r="I162" s="64">
        <v>673</v>
      </c>
      <c r="J162" s="64">
        <f>H162*AO162</f>
        <v>0</v>
      </c>
      <c r="K162" s="64">
        <f>H162*AP162</f>
        <v>1211.4000000000001</v>
      </c>
      <c r="L162" s="64">
        <f>H162*I162</f>
        <v>1211.4000000000001</v>
      </c>
      <c r="M162" s="73" t="s">
        <v>1657</v>
      </c>
      <c r="N162" s="19"/>
      <c r="Z162" s="35">
        <f>IF(AQ162="5",BJ162,0)</f>
        <v>0</v>
      </c>
      <c r="AB162" s="35">
        <f>IF(AQ162="1",BH162,0)</f>
        <v>0</v>
      </c>
      <c r="AC162" s="35">
        <f>IF(AQ162="1",BI162,0)</f>
        <v>0</v>
      </c>
      <c r="AD162" s="35">
        <f>IF(AQ162="7",BH162,0)</f>
        <v>0</v>
      </c>
      <c r="AE162" s="35">
        <f>IF(AQ162="7",BI162,0)</f>
        <v>1211.4000000000001</v>
      </c>
      <c r="AF162" s="35">
        <f>IF(AQ162="2",BH162,0)</f>
        <v>0</v>
      </c>
      <c r="AG162" s="35">
        <f>IF(AQ162="2",BI162,0)</f>
        <v>0</v>
      </c>
      <c r="AH162" s="35">
        <f>IF(AQ162="0",BJ162,0)</f>
        <v>0</v>
      </c>
      <c r="AI162" s="77" t="s">
        <v>60</v>
      </c>
      <c r="AJ162" s="64">
        <f>IF(AN162=0,L162,0)</f>
        <v>0</v>
      </c>
      <c r="AK162" s="64">
        <f>IF(AN162=15,L162,0)</f>
        <v>0</v>
      </c>
      <c r="AL162" s="64">
        <f>IF(AN162=21,L162,0)</f>
        <v>1211.4000000000001</v>
      </c>
      <c r="AN162" s="35">
        <v>21</v>
      </c>
      <c r="AO162" s="35">
        <f>I162*0</f>
        <v>0</v>
      </c>
      <c r="AP162" s="35">
        <f>I162*(1-0)</f>
        <v>673</v>
      </c>
      <c r="AQ162" s="78" t="s">
        <v>235</v>
      </c>
      <c r="AV162" s="35">
        <f>AW162+AX162</f>
        <v>1211.4000000000001</v>
      </c>
      <c r="AW162" s="35">
        <f>H162*AO162</f>
        <v>0</v>
      </c>
      <c r="AX162" s="35">
        <f>H162*AP162</f>
        <v>1211.4000000000001</v>
      </c>
      <c r="AY162" s="80" t="s">
        <v>1687</v>
      </c>
      <c r="AZ162" s="80" t="s">
        <v>1728</v>
      </c>
      <c r="BA162" s="77" t="s">
        <v>1773</v>
      </c>
      <c r="BC162" s="35">
        <f>AW162+AX162</f>
        <v>1211.4000000000001</v>
      </c>
      <c r="BD162" s="35">
        <f>I162/(100-BE162)*100</f>
        <v>673</v>
      </c>
      <c r="BE162" s="35">
        <v>0</v>
      </c>
      <c r="BF162" s="35">
        <f>162</f>
        <v>162</v>
      </c>
      <c r="BH162" s="64">
        <f>H162*AO162</f>
        <v>0</v>
      </c>
      <c r="BI162" s="64">
        <f>H162*AP162</f>
        <v>1211.4000000000001</v>
      </c>
      <c r="BJ162" s="64">
        <f>H162*I162</f>
        <v>1211.4000000000001</v>
      </c>
      <c r="BK162" s="64" t="s">
        <v>1790</v>
      </c>
      <c r="BL162" s="35">
        <v>762</v>
      </c>
    </row>
    <row r="163" spans="1:64">
      <c r="A163" s="19"/>
      <c r="C163" s="59" t="s">
        <v>730</v>
      </c>
      <c r="D163" s="167" t="s">
        <v>1233</v>
      </c>
      <c r="E163" s="168"/>
      <c r="F163" s="168"/>
      <c r="G163" s="168"/>
      <c r="H163" s="168"/>
      <c r="I163" s="168"/>
      <c r="J163" s="168"/>
      <c r="K163" s="168"/>
      <c r="L163" s="168"/>
      <c r="M163" s="169"/>
      <c r="N163" s="19"/>
    </row>
    <row r="164" spans="1:64">
      <c r="A164" s="47" t="s">
        <v>306</v>
      </c>
      <c r="B164" s="55" t="s">
        <v>60</v>
      </c>
      <c r="C164" s="55" t="s">
        <v>828</v>
      </c>
      <c r="D164" s="165" t="s">
        <v>1234</v>
      </c>
      <c r="E164" s="166"/>
      <c r="F164" s="166"/>
      <c r="G164" s="55" t="s">
        <v>1632</v>
      </c>
      <c r="H164" s="64">
        <v>30</v>
      </c>
      <c r="I164" s="64">
        <v>195</v>
      </c>
      <c r="J164" s="64">
        <f>H164*AO164</f>
        <v>0</v>
      </c>
      <c r="K164" s="64">
        <f>H164*AP164</f>
        <v>5850</v>
      </c>
      <c r="L164" s="64">
        <f>H164*I164</f>
        <v>5850</v>
      </c>
      <c r="M164" s="73" t="s">
        <v>1657</v>
      </c>
      <c r="N164" s="19"/>
      <c r="Z164" s="35">
        <f>IF(AQ164="5",BJ164,0)</f>
        <v>0</v>
      </c>
      <c r="AB164" s="35">
        <f>IF(AQ164="1",BH164,0)</f>
        <v>0</v>
      </c>
      <c r="AC164" s="35">
        <f>IF(AQ164="1",BI164,0)</f>
        <v>0</v>
      </c>
      <c r="AD164" s="35">
        <f>IF(AQ164="7",BH164,0)</f>
        <v>0</v>
      </c>
      <c r="AE164" s="35">
        <f>IF(AQ164="7",BI164,0)</f>
        <v>5850</v>
      </c>
      <c r="AF164" s="35">
        <f>IF(AQ164="2",BH164,0)</f>
        <v>0</v>
      </c>
      <c r="AG164" s="35">
        <f>IF(AQ164="2",BI164,0)</f>
        <v>0</v>
      </c>
      <c r="AH164" s="35">
        <f>IF(AQ164="0",BJ164,0)</f>
        <v>0</v>
      </c>
      <c r="AI164" s="77" t="s">
        <v>60</v>
      </c>
      <c r="AJ164" s="64">
        <f>IF(AN164=0,L164,0)</f>
        <v>0</v>
      </c>
      <c r="AK164" s="64">
        <f>IF(AN164=15,L164,0)</f>
        <v>0</v>
      </c>
      <c r="AL164" s="64">
        <f>IF(AN164=21,L164,0)</f>
        <v>5850</v>
      </c>
      <c r="AN164" s="35">
        <v>21</v>
      </c>
      <c r="AO164" s="35">
        <f>I164*0</f>
        <v>0</v>
      </c>
      <c r="AP164" s="35">
        <f>I164*(1-0)</f>
        <v>195</v>
      </c>
      <c r="AQ164" s="78" t="s">
        <v>235</v>
      </c>
      <c r="AV164" s="35">
        <f>AW164+AX164</f>
        <v>5850</v>
      </c>
      <c r="AW164" s="35">
        <f>H164*AO164</f>
        <v>0</v>
      </c>
      <c r="AX164" s="35">
        <f>H164*AP164</f>
        <v>5850</v>
      </c>
      <c r="AY164" s="80" t="s">
        <v>1687</v>
      </c>
      <c r="AZ164" s="80" t="s">
        <v>1728</v>
      </c>
      <c r="BA164" s="77" t="s">
        <v>1773</v>
      </c>
      <c r="BC164" s="35">
        <f>AW164+AX164</f>
        <v>5850</v>
      </c>
      <c r="BD164" s="35">
        <f>I164/(100-BE164)*100</f>
        <v>195</v>
      </c>
      <c r="BE164" s="35">
        <v>0</v>
      </c>
      <c r="BF164" s="35">
        <f>164</f>
        <v>164</v>
      </c>
      <c r="BH164" s="64">
        <f>H164*AO164</f>
        <v>0</v>
      </c>
      <c r="BI164" s="64">
        <f>H164*AP164</f>
        <v>5850</v>
      </c>
      <c r="BJ164" s="64">
        <f>H164*I164</f>
        <v>5850</v>
      </c>
      <c r="BK164" s="64" t="s">
        <v>1790</v>
      </c>
      <c r="BL164" s="35">
        <v>762</v>
      </c>
    </row>
    <row r="165" spans="1:64">
      <c r="A165" s="48" t="s">
        <v>307</v>
      </c>
      <c r="B165" s="56" t="s">
        <v>60</v>
      </c>
      <c r="C165" s="56" t="s">
        <v>829</v>
      </c>
      <c r="D165" s="170" t="s">
        <v>1235</v>
      </c>
      <c r="E165" s="171"/>
      <c r="F165" s="171"/>
      <c r="G165" s="56" t="s">
        <v>1632</v>
      </c>
      <c r="H165" s="65">
        <v>66</v>
      </c>
      <c r="I165" s="65">
        <v>293</v>
      </c>
      <c r="J165" s="65">
        <f>H165*AO165</f>
        <v>19338</v>
      </c>
      <c r="K165" s="65">
        <f>H165*AP165</f>
        <v>0</v>
      </c>
      <c r="L165" s="65">
        <f>H165*I165</f>
        <v>19338</v>
      </c>
      <c r="M165" s="74" t="s">
        <v>1657</v>
      </c>
      <c r="N165" s="19"/>
      <c r="Z165" s="35">
        <f>IF(AQ165="5",BJ165,0)</f>
        <v>0</v>
      </c>
      <c r="AB165" s="35">
        <f>IF(AQ165="1",BH165,0)</f>
        <v>0</v>
      </c>
      <c r="AC165" s="35">
        <f>IF(AQ165="1",BI165,0)</f>
        <v>0</v>
      </c>
      <c r="AD165" s="35">
        <f>IF(AQ165="7",BH165,0)</f>
        <v>19338</v>
      </c>
      <c r="AE165" s="35">
        <f>IF(AQ165="7",BI165,0)</f>
        <v>0</v>
      </c>
      <c r="AF165" s="35">
        <f>IF(AQ165="2",BH165,0)</f>
        <v>0</v>
      </c>
      <c r="AG165" s="35">
        <f>IF(AQ165="2",BI165,0)</f>
        <v>0</v>
      </c>
      <c r="AH165" s="35">
        <f>IF(AQ165="0",BJ165,0)</f>
        <v>0</v>
      </c>
      <c r="AI165" s="77" t="s">
        <v>60</v>
      </c>
      <c r="AJ165" s="65">
        <f>IF(AN165=0,L165,0)</f>
        <v>0</v>
      </c>
      <c r="AK165" s="65">
        <f>IF(AN165=15,L165,0)</f>
        <v>0</v>
      </c>
      <c r="AL165" s="65">
        <f>IF(AN165=21,L165,0)</f>
        <v>19338</v>
      </c>
      <c r="AN165" s="35">
        <v>21</v>
      </c>
      <c r="AO165" s="35">
        <f>I165*1</f>
        <v>293</v>
      </c>
      <c r="AP165" s="35">
        <f>I165*(1-1)</f>
        <v>0</v>
      </c>
      <c r="AQ165" s="79" t="s">
        <v>235</v>
      </c>
      <c r="AV165" s="35">
        <f>AW165+AX165</f>
        <v>19338</v>
      </c>
      <c r="AW165" s="35">
        <f>H165*AO165</f>
        <v>19338</v>
      </c>
      <c r="AX165" s="35">
        <f>H165*AP165</f>
        <v>0</v>
      </c>
      <c r="AY165" s="80" t="s">
        <v>1687</v>
      </c>
      <c r="AZ165" s="80" t="s">
        <v>1728</v>
      </c>
      <c r="BA165" s="77" t="s">
        <v>1773</v>
      </c>
      <c r="BC165" s="35">
        <f>AW165+AX165</f>
        <v>19338</v>
      </c>
      <c r="BD165" s="35">
        <f>I165/(100-BE165)*100</f>
        <v>293</v>
      </c>
      <c r="BE165" s="35">
        <v>0</v>
      </c>
      <c r="BF165" s="35">
        <f>165</f>
        <v>165</v>
      </c>
      <c r="BH165" s="65">
        <f>H165*AO165</f>
        <v>19338</v>
      </c>
      <c r="BI165" s="65">
        <f>H165*AP165</f>
        <v>0</v>
      </c>
      <c r="BJ165" s="65">
        <f>H165*I165</f>
        <v>19338</v>
      </c>
      <c r="BK165" s="65" t="s">
        <v>1642</v>
      </c>
      <c r="BL165" s="35">
        <v>762</v>
      </c>
    </row>
    <row r="166" spans="1:64">
      <c r="A166" s="47" t="s">
        <v>308</v>
      </c>
      <c r="B166" s="55" t="s">
        <v>60</v>
      </c>
      <c r="C166" s="55" t="s">
        <v>830</v>
      </c>
      <c r="D166" s="165" t="s">
        <v>1236</v>
      </c>
      <c r="E166" s="166"/>
      <c r="F166" s="166"/>
      <c r="G166" s="55" t="s">
        <v>1634</v>
      </c>
      <c r="H166" s="64">
        <v>1.19217</v>
      </c>
      <c r="I166" s="64">
        <v>1017</v>
      </c>
      <c r="J166" s="64">
        <f>H166*AO166</f>
        <v>0</v>
      </c>
      <c r="K166" s="64">
        <f>H166*AP166</f>
        <v>1212.4368899999999</v>
      </c>
      <c r="L166" s="64">
        <f>H166*I166</f>
        <v>1212.4368899999999</v>
      </c>
      <c r="M166" s="73" t="s">
        <v>1657</v>
      </c>
      <c r="N166" s="19"/>
      <c r="Z166" s="35">
        <f>IF(AQ166="5",BJ166,0)</f>
        <v>1212.4368899999999</v>
      </c>
      <c r="AB166" s="35">
        <f>IF(AQ166="1",BH166,0)</f>
        <v>0</v>
      </c>
      <c r="AC166" s="35">
        <f>IF(AQ166="1",BI166,0)</f>
        <v>0</v>
      </c>
      <c r="AD166" s="35">
        <f>IF(AQ166="7",BH166,0)</f>
        <v>0</v>
      </c>
      <c r="AE166" s="35">
        <f>IF(AQ166="7",BI166,0)</f>
        <v>0</v>
      </c>
      <c r="AF166" s="35">
        <f>IF(AQ166="2",BH166,0)</f>
        <v>0</v>
      </c>
      <c r="AG166" s="35">
        <f>IF(AQ166="2",BI166,0)</f>
        <v>0</v>
      </c>
      <c r="AH166" s="35">
        <f>IF(AQ166="0",BJ166,0)</f>
        <v>0</v>
      </c>
      <c r="AI166" s="77" t="s">
        <v>60</v>
      </c>
      <c r="AJ166" s="64">
        <f>IF(AN166=0,L166,0)</f>
        <v>0</v>
      </c>
      <c r="AK166" s="64">
        <f>IF(AN166=15,L166,0)</f>
        <v>0</v>
      </c>
      <c r="AL166" s="64">
        <f>IF(AN166=21,L166,0)</f>
        <v>1212.4368899999999</v>
      </c>
      <c r="AN166" s="35">
        <v>21</v>
      </c>
      <c r="AO166" s="35">
        <f>I166*0</f>
        <v>0</v>
      </c>
      <c r="AP166" s="35">
        <f>I166*(1-0)</f>
        <v>1017</v>
      </c>
      <c r="AQ166" s="78" t="s">
        <v>112</v>
      </c>
      <c r="AV166" s="35">
        <f>AW166+AX166</f>
        <v>1212.4368899999999</v>
      </c>
      <c r="AW166" s="35">
        <f>H166*AO166</f>
        <v>0</v>
      </c>
      <c r="AX166" s="35">
        <f>H166*AP166</f>
        <v>1212.4368899999999</v>
      </c>
      <c r="AY166" s="80" t="s">
        <v>1687</v>
      </c>
      <c r="AZ166" s="80" t="s">
        <v>1728</v>
      </c>
      <c r="BA166" s="77" t="s">
        <v>1773</v>
      </c>
      <c r="BC166" s="35">
        <f>AW166+AX166</f>
        <v>1212.4368899999999</v>
      </c>
      <c r="BD166" s="35">
        <f>I166/(100-BE166)*100</f>
        <v>1017</v>
      </c>
      <c r="BE166" s="35">
        <v>0</v>
      </c>
      <c r="BF166" s="35">
        <f>166</f>
        <v>166</v>
      </c>
      <c r="BH166" s="64">
        <f>H166*AO166</f>
        <v>0</v>
      </c>
      <c r="BI166" s="64">
        <f>H166*AP166</f>
        <v>1212.4368899999999</v>
      </c>
      <c r="BJ166" s="64">
        <f>H166*I166</f>
        <v>1212.4368899999999</v>
      </c>
      <c r="BK166" s="64" t="s">
        <v>1790</v>
      </c>
      <c r="BL166" s="35">
        <v>762</v>
      </c>
    </row>
    <row r="167" spans="1:64">
      <c r="A167" s="46"/>
      <c r="B167" s="54" t="s">
        <v>60</v>
      </c>
      <c r="C167" s="54" t="s">
        <v>149</v>
      </c>
      <c r="D167" s="163" t="s">
        <v>200</v>
      </c>
      <c r="E167" s="164"/>
      <c r="F167" s="164"/>
      <c r="G167" s="61" t="s">
        <v>57</v>
      </c>
      <c r="H167" s="61" t="s">
        <v>57</v>
      </c>
      <c r="I167" s="61" t="s">
        <v>57</v>
      </c>
      <c r="J167" s="83">
        <f>SUM(J168:J172)</f>
        <v>12296.84375</v>
      </c>
      <c r="K167" s="83">
        <f>SUM(K168:K172)</f>
        <v>14351.306</v>
      </c>
      <c r="L167" s="83">
        <f>SUM(L168:L172)</f>
        <v>26648.14975</v>
      </c>
      <c r="M167" s="72"/>
      <c r="N167" s="19"/>
      <c r="AI167" s="77" t="s">
        <v>60</v>
      </c>
      <c r="AS167" s="83">
        <f>SUM(AJ168:AJ172)</f>
        <v>0</v>
      </c>
      <c r="AT167" s="83">
        <f>SUM(AK168:AK172)</f>
        <v>0</v>
      </c>
      <c r="AU167" s="83">
        <f>SUM(AL168:AL172)</f>
        <v>26648.14975</v>
      </c>
    </row>
    <row r="168" spans="1:64">
      <c r="A168" s="47" t="s">
        <v>309</v>
      </c>
      <c r="B168" s="55" t="s">
        <v>60</v>
      </c>
      <c r="C168" s="55" t="s">
        <v>831</v>
      </c>
      <c r="D168" s="165" t="s">
        <v>1237</v>
      </c>
      <c r="E168" s="166"/>
      <c r="F168" s="166"/>
      <c r="G168" s="55" t="s">
        <v>1633</v>
      </c>
      <c r="H168" s="64">
        <v>125</v>
      </c>
      <c r="I168" s="64">
        <v>96</v>
      </c>
      <c r="J168" s="64">
        <f>H168*AO168</f>
        <v>0</v>
      </c>
      <c r="K168" s="64">
        <f>H168*AP168</f>
        <v>12000</v>
      </c>
      <c r="L168" s="64">
        <f>H168*I168</f>
        <v>12000</v>
      </c>
      <c r="M168" s="73" t="s">
        <v>1657</v>
      </c>
      <c r="N168" s="19"/>
      <c r="Z168" s="35">
        <f>IF(AQ168="5",BJ168,0)</f>
        <v>0</v>
      </c>
      <c r="AB168" s="35">
        <f>IF(AQ168="1",BH168,0)</f>
        <v>0</v>
      </c>
      <c r="AC168" s="35">
        <f>IF(AQ168="1",BI168,0)</f>
        <v>0</v>
      </c>
      <c r="AD168" s="35">
        <f>IF(AQ168="7",BH168,0)</f>
        <v>0</v>
      </c>
      <c r="AE168" s="35">
        <f>IF(AQ168="7",BI168,0)</f>
        <v>12000</v>
      </c>
      <c r="AF168" s="35">
        <f>IF(AQ168="2",BH168,0)</f>
        <v>0</v>
      </c>
      <c r="AG168" s="35">
        <f>IF(AQ168="2",BI168,0)</f>
        <v>0</v>
      </c>
      <c r="AH168" s="35">
        <f>IF(AQ168="0",BJ168,0)</f>
        <v>0</v>
      </c>
      <c r="AI168" s="77" t="s">
        <v>60</v>
      </c>
      <c r="AJ168" s="64">
        <f>IF(AN168=0,L168,0)</f>
        <v>0</v>
      </c>
      <c r="AK168" s="64">
        <f>IF(AN168=15,L168,0)</f>
        <v>0</v>
      </c>
      <c r="AL168" s="64">
        <f>IF(AN168=21,L168,0)</f>
        <v>12000</v>
      </c>
      <c r="AN168" s="35">
        <v>21</v>
      </c>
      <c r="AO168" s="35">
        <f>I168*0</f>
        <v>0</v>
      </c>
      <c r="AP168" s="35">
        <f>I168*(1-0)</f>
        <v>96</v>
      </c>
      <c r="AQ168" s="78" t="s">
        <v>235</v>
      </c>
      <c r="AV168" s="35">
        <f>AW168+AX168</f>
        <v>12000</v>
      </c>
      <c r="AW168" s="35">
        <f>H168*AO168</f>
        <v>0</v>
      </c>
      <c r="AX168" s="35">
        <f>H168*AP168</f>
        <v>12000</v>
      </c>
      <c r="AY168" s="80" t="s">
        <v>1688</v>
      </c>
      <c r="AZ168" s="80" t="s">
        <v>1728</v>
      </c>
      <c r="BA168" s="77" t="s">
        <v>1773</v>
      </c>
      <c r="BC168" s="35">
        <f>AW168+AX168</f>
        <v>12000</v>
      </c>
      <c r="BD168" s="35">
        <f>I168/(100-BE168)*100</f>
        <v>96</v>
      </c>
      <c r="BE168" s="35">
        <v>0</v>
      </c>
      <c r="BF168" s="35">
        <f>168</f>
        <v>168</v>
      </c>
      <c r="BH168" s="64">
        <f>H168*AO168</f>
        <v>0</v>
      </c>
      <c r="BI168" s="64">
        <f>H168*AP168</f>
        <v>12000</v>
      </c>
      <c r="BJ168" s="64">
        <f>H168*I168</f>
        <v>12000</v>
      </c>
      <c r="BK168" s="64" t="s">
        <v>1790</v>
      </c>
      <c r="BL168" s="35">
        <v>763</v>
      </c>
    </row>
    <row r="169" spans="1:64">
      <c r="A169" s="48" t="s">
        <v>310</v>
      </c>
      <c r="B169" s="56" t="s">
        <v>60</v>
      </c>
      <c r="C169" s="56" t="s">
        <v>829</v>
      </c>
      <c r="D169" s="170" t="s">
        <v>1235</v>
      </c>
      <c r="E169" s="171"/>
      <c r="F169" s="171"/>
      <c r="G169" s="56" t="s">
        <v>1632</v>
      </c>
      <c r="H169" s="65">
        <v>37.5</v>
      </c>
      <c r="I169" s="65">
        <v>293</v>
      </c>
      <c r="J169" s="65">
        <f>H169*AO169</f>
        <v>10987.5</v>
      </c>
      <c r="K169" s="65">
        <f>H169*AP169</f>
        <v>0</v>
      </c>
      <c r="L169" s="65">
        <f>H169*I169</f>
        <v>10987.5</v>
      </c>
      <c r="M169" s="74" t="s">
        <v>1657</v>
      </c>
      <c r="N169" s="19"/>
      <c r="Z169" s="35">
        <f>IF(AQ169="5",BJ169,0)</f>
        <v>0</v>
      </c>
      <c r="AB169" s="35">
        <f>IF(AQ169="1",BH169,0)</f>
        <v>0</v>
      </c>
      <c r="AC169" s="35">
        <f>IF(AQ169="1",BI169,0)</f>
        <v>0</v>
      </c>
      <c r="AD169" s="35">
        <f>IF(AQ169="7",BH169,0)</f>
        <v>10987.5</v>
      </c>
      <c r="AE169" s="35">
        <f>IF(AQ169="7",BI169,0)</f>
        <v>0</v>
      </c>
      <c r="AF169" s="35">
        <f>IF(AQ169="2",BH169,0)</f>
        <v>0</v>
      </c>
      <c r="AG169" s="35">
        <f>IF(AQ169="2",BI169,0)</f>
        <v>0</v>
      </c>
      <c r="AH169" s="35">
        <f>IF(AQ169="0",BJ169,0)</f>
        <v>0</v>
      </c>
      <c r="AI169" s="77" t="s">
        <v>60</v>
      </c>
      <c r="AJ169" s="65">
        <f>IF(AN169=0,L169,0)</f>
        <v>0</v>
      </c>
      <c r="AK169" s="65">
        <f>IF(AN169=15,L169,0)</f>
        <v>0</v>
      </c>
      <c r="AL169" s="65">
        <f>IF(AN169=21,L169,0)</f>
        <v>10987.5</v>
      </c>
      <c r="AN169" s="35">
        <v>21</v>
      </c>
      <c r="AO169" s="35">
        <f>I169*1</f>
        <v>293</v>
      </c>
      <c r="AP169" s="35">
        <f>I169*(1-1)</f>
        <v>0</v>
      </c>
      <c r="AQ169" s="79" t="s">
        <v>235</v>
      </c>
      <c r="AV169" s="35">
        <f>AW169+AX169</f>
        <v>10987.5</v>
      </c>
      <c r="AW169" s="35">
        <f>H169*AO169</f>
        <v>10987.5</v>
      </c>
      <c r="AX169" s="35">
        <f>H169*AP169</f>
        <v>0</v>
      </c>
      <c r="AY169" s="80" t="s">
        <v>1688</v>
      </c>
      <c r="AZ169" s="80" t="s">
        <v>1728</v>
      </c>
      <c r="BA169" s="77" t="s">
        <v>1773</v>
      </c>
      <c r="BC169" s="35">
        <f>AW169+AX169</f>
        <v>10987.5</v>
      </c>
      <c r="BD169" s="35">
        <f>I169/(100-BE169)*100</f>
        <v>293</v>
      </c>
      <c r="BE169" s="35">
        <v>0</v>
      </c>
      <c r="BF169" s="35">
        <f>169</f>
        <v>169</v>
      </c>
      <c r="BH169" s="65">
        <f>H169*AO169</f>
        <v>10987.5</v>
      </c>
      <c r="BI169" s="65">
        <f>H169*AP169</f>
        <v>0</v>
      </c>
      <c r="BJ169" s="65">
        <f>H169*I169</f>
        <v>10987.5</v>
      </c>
      <c r="BK169" s="65" t="s">
        <v>1642</v>
      </c>
      <c r="BL169" s="35">
        <v>763</v>
      </c>
    </row>
    <row r="170" spans="1:64">
      <c r="A170" s="47" t="s">
        <v>311</v>
      </c>
      <c r="B170" s="55" t="s">
        <v>60</v>
      </c>
      <c r="C170" s="55" t="s">
        <v>832</v>
      </c>
      <c r="D170" s="165" t="s">
        <v>1238</v>
      </c>
      <c r="E170" s="166"/>
      <c r="F170" s="166"/>
      <c r="G170" s="55" t="s">
        <v>1631</v>
      </c>
      <c r="H170" s="64">
        <v>5</v>
      </c>
      <c r="I170" s="64">
        <v>374</v>
      </c>
      <c r="J170" s="64">
        <f>H170*AO170</f>
        <v>0</v>
      </c>
      <c r="K170" s="64">
        <f>H170*AP170</f>
        <v>1870</v>
      </c>
      <c r="L170" s="64">
        <f>H170*I170</f>
        <v>1870</v>
      </c>
      <c r="M170" s="73" t="s">
        <v>1657</v>
      </c>
      <c r="N170" s="19"/>
      <c r="Z170" s="35">
        <f>IF(AQ170="5",BJ170,0)</f>
        <v>0</v>
      </c>
      <c r="AB170" s="35">
        <f>IF(AQ170="1",BH170,0)</f>
        <v>0</v>
      </c>
      <c r="AC170" s="35">
        <f>IF(AQ170="1",BI170,0)</f>
        <v>0</v>
      </c>
      <c r="AD170" s="35">
        <f>IF(AQ170="7",BH170,0)</f>
        <v>0</v>
      </c>
      <c r="AE170" s="35">
        <f>IF(AQ170="7",BI170,0)</f>
        <v>1870</v>
      </c>
      <c r="AF170" s="35">
        <f>IF(AQ170="2",BH170,0)</f>
        <v>0</v>
      </c>
      <c r="AG170" s="35">
        <f>IF(AQ170="2",BI170,0)</f>
        <v>0</v>
      </c>
      <c r="AH170" s="35">
        <f>IF(AQ170="0",BJ170,0)</f>
        <v>0</v>
      </c>
      <c r="AI170" s="77" t="s">
        <v>60</v>
      </c>
      <c r="AJ170" s="64">
        <f>IF(AN170=0,L170,0)</f>
        <v>0</v>
      </c>
      <c r="AK170" s="64">
        <f>IF(AN170=15,L170,0)</f>
        <v>0</v>
      </c>
      <c r="AL170" s="64">
        <f>IF(AN170=21,L170,0)</f>
        <v>1870</v>
      </c>
      <c r="AN170" s="35">
        <v>21</v>
      </c>
      <c r="AO170" s="35">
        <f>I170*0</f>
        <v>0</v>
      </c>
      <c r="AP170" s="35">
        <f>I170*(1-0)</f>
        <v>374</v>
      </c>
      <c r="AQ170" s="78" t="s">
        <v>235</v>
      </c>
      <c r="AV170" s="35">
        <f>AW170+AX170</f>
        <v>1870</v>
      </c>
      <c r="AW170" s="35">
        <f>H170*AO170</f>
        <v>0</v>
      </c>
      <c r="AX170" s="35">
        <f>H170*AP170</f>
        <v>1870</v>
      </c>
      <c r="AY170" s="80" t="s">
        <v>1688</v>
      </c>
      <c r="AZ170" s="80" t="s">
        <v>1728</v>
      </c>
      <c r="BA170" s="77" t="s">
        <v>1773</v>
      </c>
      <c r="BC170" s="35">
        <f>AW170+AX170</f>
        <v>1870</v>
      </c>
      <c r="BD170" s="35">
        <f>I170/(100-BE170)*100</f>
        <v>374</v>
      </c>
      <c r="BE170" s="35">
        <v>0</v>
      </c>
      <c r="BF170" s="35">
        <f>170</f>
        <v>170</v>
      </c>
      <c r="BH170" s="64">
        <f>H170*AO170</f>
        <v>0</v>
      </c>
      <c r="BI170" s="64">
        <f>H170*AP170</f>
        <v>1870</v>
      </c>
      <c r="BJ170" s="64">
        <f>H170*I170</f>
        <v>1870</v>
      </c>
      <c r="BK170" s="64" t="s">
        <v>1790</v>
      </c>
      <c r="BL170" s="35">
        <v>763</v>
      </c>
    </row>
    <row r="171" spans="1:64">
      <c r="A171" s="48" t="s">
        <v>312</v>
      </c>
      <c r="B171" s="56" t="s">
        <v>60</v>
      </c>
      <c r="C171" s="56" t="s">
        <v>829</v>
      </c>
      <c r="D171" s="170" t="s">
        <v>1235</v>
      </c>
      <c r="E171" s="171"/>
      <c r="F171" s="171"/>
      <c r="G171" s="56" t="s">
        <v>1632</v>
      </c>
      <c r="H171" s="65">
        <v>4.46875</v>
      </c>
      <c r="I171" s="65">
        <v>293</v>
      </c>
      <c r="J171" s="65">
        <f>H171*AO171</f>
        <v>1309.34375</v>
      </c>
      <c r="K171" s="65">
        <f>H171*AP171</f>
        <v>0</v>
      </c>
      <c r="L171" s="65">
        <f>H171*I171</f>
        <v>1309.34375</v>
      </c>
      <c r="M171" s="74" t="s">
        <v>1657</v>
      </c>
      <c r="N171" s="19"/>
      <c r="Z171" s="35">
        <f>IF(AQ171="5",BJ171,0)</f>
        <v>0</v>
      </c>
      <c r="AB171" s="35">
        <f>IF(AQ171="1",BH171,0)</f>
        <v>0</v>
      </c>
      <c r="AC171" s="35">
        <f>IF(AQ171="1",BI171,0)</f>
        <v>0</v>
      </c>
      <c r="AD171" s="35">
        <f>IF(AQ171="7",BH171,0)</f>
        <v>1309.34375</v>
      </c>
      <c r="AE171" s="35">
        <f>IF(AQ171="7",BI171,0)</f>
        <v>0</v>
      </c>
      <c r="AF171" s="35">
        <f>IF(AQ171="2",BH171,0)</f>
        <v>0</v>
      </c>
      <c r="AG171" s="35">
        <f>IF(AQ171="2",BI171,0)</f>
        <v>0</v>
      </c>
      <c r="AH171" s="35">
        <f>IF(AQ171="0",BJ171,0)</f>
        <v>0</v>
      </c>
      <c r="AI171" s="77" t="s">
        <v>60</v>
      </c>
      <c r="AJ171" s="65">
        <f>IF(AN171=0,L171,0)</f>
        <v>0</v>
      </c>
      <c r="AK171" s="65">
        <f>IF(AN171=15,L171,0)</f>
        <v>0</v>
      </c>
      <c r="AL171" s="65">
        <f>IF(AN171=21,L171,0)</f>
        <v>1309.34375</v>
      </c>
      <c r="AN171" s="35">
        <v>21</v>
      </c>
      <c r="AO171" s="35">
        <f>I171*1</f>
        <v>293</v>
      </c>
      <c r="AP171" s="35">
        <f>I171*(1-1)</f>
        <v>0</v>
      </c>
      <c r="AQ171" s="79" t="s">
        <v>235</v>
      </c>
      <c r="AV171" s="35">
        <f>AW171+AX171</f>
        <v>1309.34375</v>
      </c>
      <c r="AW171" s="35">
        <f>H171*AO171</f>
        <v>1309.34375</v>
      </c>
      <c r="AX171" s="35">
        <f>H171*AP171</f>
        <v>0</v>
      </c>
      <c r="AY171" s="80" t="s">
        <v>1688</v>
      </c>
      <c r="AZ171" s="80" t="s">
        <v>1728</v>
      </c>
      <c r="BA171" s="77" t="s">
        <v>1773</v>
      </c>
      <c r="BC171" s="35">
        <f>AW171+AX171</f>
        <v>1309.34375</v>
      </c>
      <c r="BD171" s="35">
        <f>I171/(100-BE171)*100</f>
        <v>293</v>
      </c>
      <c r="BE171" s="35">
        <v>0</v>
      </c>
      <c r="BF171" s="35">
        <f>171</f>
        <v>171</v>
      </c>
      <c r="BH171" s="65">
        <f>H171*AO171</f>
        <v>1309.34375</v>
      </c>
      <c r="BI171" s="65">
        <f>H171*AP171</f>
        <v>0</v>
      </c>
      <c r="BJ171" s="65">
        <f>H171*I171</f>
        <v>1309.34375</v>
      </c>
      <c r="BK171" s="65" t="s">
        <v>1642</v>
      </c>
      <c r="BL171" s="35">
        <v>763</v>
      </c>
    </row>
    <row r="172" spans="1:64">
      <c r="A172" s="47" t="s">
        <v>313</v>
      </c>
      <c r="B172" s="55" t="s">
        <v>60</v>
      </c>
      <c r="C172" s="55" t="s">
        <v>833</v>
      </c>
      <c r="D172" s="165" t="s">
        <v>1239</v>
      </c>
      <c r="E172" s="166"/>
      <c r="F172" s="166"/>
      <c r="G172" s="55" t="s">
        <v>1634</v>
      </c>
      <c r="H172" s="64">
        <v>0.62104000000000004</v>
      </c>
      <c r="I172" s="64">
        <v>775</v>
      </c>
      <c r="J172" s="64">
        <f>H172*AO172</f>
        <v>0</v>
      </c>
      <c r="K172" s="64">
        <f>H172*AP172</f>
        <v>481.30600000000004</v>
      </c>
      <c r="L172" s="64">
        <f>H172*I172</f>
        <v>481.30600000000004</v>
      </c>
      <c r="M172" s="73" t="s">
        <v>1657</v>
      </c>
      <c r="N172" s="19"/>
      <c r="Z172" s="35">
        <f>IF(AQ172="5",BJ172,0)</f>
        <v>481.30600000000004</v>
      </c>
      <c r="AB172" s="35">
        <f>IF(AQ172="1",BH172,0)</f>
        <v>0</v>
      </c>
      <c r="AC172" s="35">
        <f>IF(AQ172="1",BI172,0)</f>
        <v>0</v>
      </c>
      <c r="AD172" s="35">
        <f>IF(AQ172="7",BH172,0)</f>
        <v>0</v>
      </c>
      <c r="AE172" s="35">
        <f>IF(AQ172="7",BI172,0)</f>
        <v>0</v>
      </c>
      <c r="AF172" s="35">
        <f>IF(AQ172="2",BH172,0)</f>
        <v>0</v>
      </c>
      <c r="AG172" s="35">
        <f>IF(AQ172="2",BI172,0)</f>
        <v>0</v>
      </c>
      <c r="AH172" s="35">
        <f>IF(AQ172="0",BJ172,0)</f>
        <v>0</v>
      </c>
      <c r="AI172" s="77" t="s">
        <v>60</v>
      </c>
      <c r="AJ172" s="64">
        <f>IF(AN172=0,L172,0)</f>
        <v>0</v>
      </c>
      <c r="AK172" s="64">
        <f>IF(AN172=15,L172,0)</f>
        <v>0</v>
      </c>
      <c r="AL172" s="64">
        <f>IF(AN172=21,L172,0)</f>
        <v>481.30600000000004</v>
      </c>
      <c r="AN172" s="35">
        <v>21</v>
      </c>
      <c r="AO172" s="35">
        <f>I172*0</f>
        <v>0</v>
      </c>
      <c r="AP172" s="35">
        <f>I172*(1-0)</f>
        <v>775</v>
      </c>
      <c r="AQ172" s="78" t="s">
        <v>112</v>
      </c>
      <c r="AV172" s="35">
        <f>AW172+AX172</f>
        <v>481.30600000000004</v>
      </c>
      <c r="AW172" s="35">
        <f>H172*AO172</f>
        <v>0</v>
      </c>
      <c r="AX172" s="35">
        <f>H172*AP172</f>
        <v>481.30600000000004</v>
      </c>
      <c r="AY172" s="80" t="s">
        <v>1688</v>
      </c>
      <c r="AZ172" s="80" t="s">
        <v>1728</v>
      </c>
      <c r="BA172" s="77" t="s">
        <v>1773</v>
      </c>
      <c r="BC172" s="35">
        <f>AW172+AX172</f>
        <v>481.30600000000004</v>
      </c>
      <c r="BD172" s="35">
        <f>I172/(100-BE172)*100</f>
        <v>775</v>
      </c>
      <c r="BE172" s="35">
        <v>0</v>
      </c>
      <c r="BF172" s="35">
        <f>172</f>
        <v>172</v>
      </c>
      <c r="BH172" s="64">
        <f>H172*AO172</f>
        <v>0</v>
      </c>
      <c r="BI172" s="64">
        <f>H172*AP172</f>
        <v>481.30600000000004</v>
      </c>
      <c r="BJ172" s="64">
        <f>H172*I172</f>
        <v>481.30600000000004</v>
      </c>
      <c r="BK172" s="64" t="s">
        <v>1790</v>
      </c>
      <c r="BL172" s="35">
        <v>763</v>
      </c>
    </row>
    <row r="173" spans="1:64">
      <c r="A173" s="49"/>
      <c r="B173" s="57" t="s">
        <v>61</v>
      </c>
      <c r="C173" s="57"/>
      <c r="D173" s="172" t="s">
        <v>77</v>
      </c>
      <c r="E173" s="173"/>
      <c r="F173" s="173"/>
      <c r="G173" s="62" t="s">
        <v>57</v>
      </c>
      <c r="H173" s="62" t="s">
        <v>57</v>
      </c>
      <c r="I173" s="62" t="s">
        <v>57</v>
      </c>
      <c r="J173" s="84">
        <f>J174+J176+J179+J185+J187+J197+J199+J213+J221+J223+J231+J268+J275</f>
        <v>964900.39999999991</v>
      </c>
      <c r="K173" s="84">
        <f>K174+K176+K179+K185+K187+K197+K199+K213+K221+K223+K231+K268+K275</f>
        <v>542994.87028999999</v>
      </c>
      <c r="L173" s="84">
        <f>L174+L176+L179+L185+L187+L197+L199+L213+L221+L223+L231+L268+L275</f>
        <v>1507895.2702899999</v>
      </c>
      <c r="M173" s="75"/>
      <c r="N173" s="19"/>
    </row>
    <row r="174" spans="1:64">
      <c r="A174" s="46"/>
      <c r="B174" s="54" t="s">
        <v>61</v>
      </c>
      <c r="C174" s="54" t="s">
        <v>131</v>
      </c>
      <c r="D174" s="163" t="s">
        <v>182</v>
      </c>
      <c r="E174" s="164"/>
      <c r="F174" s="164"/>
      <c r="G174" s="61" t="s">
        <v>57</v>
      </c>
      <c r="H174" s="61" t="s">
        <v>57</v>
      </c>
      <c r="I174" s="61" t="s">
        <v>57</v>
      </c>
      <c r="J174" s="83">
        <f>SUM(J175:J175)</f>
        <v>0</v>
      </c>
      <c r="K174" s="83">
        <f>SUM(K175:K175)</f>
        <v>3625.2000000000003</v>
      </c>
      <c r="L174" s="83">
        <f>SUM(L175:L175)</f>
        <v>3625.2000000000003</v>
      </c>
      <c r="M174" s="72"/>
      <c r="N174" s="19"/>
      <c r="AI174" s="77" t="s">
        <v>61</v>
      </c>
      <c r="AS174" s="83">
        <f>SUM(AJ175:AJ175)</f>
        <v>0</v>
      </c>
      <c r="AT174" s="83">
        <f>SUM(AK175:AK175)</f>
        <v>0</v>
      </c>
      <c r="AU174" s="83">
        <f>SUM(AL175:AL175)</f>
        <v>3625.2000000000003</v>
      </c>
    </row>
    <row r="175" spans="1:64">
      <c r="A175" s="47" t="s">
        <v>314</v>
      </c>
      <c r="B175" s="55" t="s">
        <v>61</v>
      </c>
      <c r="C175" s="55" t="s">
        <v>834</v>
      </c>
      <c r="D175" s="165" t="s">
        <v>1240</v>
      </c>
      <c r="E175" s="166"/>
      <c r="F175" s="166"/>
      <c r="G175" s="55" t="s">
        <v>1632</v>
      </c>
      <c r="H175" s="64">
        <v>3.6</v>
      </c>
      <c r="I175" s="64">
        <v>1007</v>
      </c>
      <c r="J175" s="64">
        <f>H175*AO175</f>
        <v>0</v>
      </c>
      <c r="K175" s="64">
        <f>H175*AP175</f>
        <v>3625.2000000000003</v>
      </c>
      <c r="L175" s="64">
        <f>H175*I175</f>
        <v>3625.2000000000003</v>
      </c>
      <c r="M175" s="73" t="s">
        <v>1657</v>
      </c>
      <c r="N175" s="19"/>
      <c r="Z175" s="35">
        <f>IF(AQ175="5",BJ175,0)</f>
        <v>0</v>
      </c>
      <c r="AB175" s="35">
        <f>IF(AQ175="1",BH175,0)</f>
        <v>0</v>
      </c>
      <c r="AC175" s="35">
        <f>IF(AQ175="1",BI175,0)</f>
        <v>3625.2000000000003</v>
      </c>
      <c r="AD175" s="35">
        <f>IF(AQ175="7",BH175,0)</f>
        <v>0</v>
      </c>
      <c r="AE175" s="35">
        <f>IF(AQ175="7",BI175,0)</f>
        <v>0</v>
      </c>
      <c r="AF175" s="35">
        <f>IF(AQ175="2",BH175,0)</f>
        <v>0</v>
      </c>
      <c r="AG175" s="35">
        <f>IF(AQ175="2",BI175,0)</f>
        <v>0</v>
      </c>
      <c r="AH175" s="35">
        <f>IF(AQ175="0",BJ175,0)</f>
        <v>0</v>
      </c>
      <c r="AI175" s="77" t="s">
        <v>61</v>
      </c>
      <c r="AJ175" s="64">
        <f>IF(AN175=0,L175,0)</f>
        <v>0</v>
      </c>
      <c r="AK175" s="64">
        <f>IF(AN175=15,L175,0)</f>
        <v>0</v>
      </c>
      <c r="AL175" s="64">
        <f>IF(AN175=21,L175,0)</f>
        <v>3625.2000000000003</v>
      </c>
      <c r="AN175" s="35">
        <v>21</v>
      </c>
      <c r="AO175" s="35">
        <f>I175*0</f>
        <v>0</v>
      </c>
      <c r="AP175" s="35">
        <f>I175*(1-0)</f>
        <v>1007</v>
      </c>
      <c r="AQ175" s="78" t="s">
        <v>109</v>
      </c>
      <c r="AV175" s="35">
        <f>AW175+AX175</f>
        <v>3625.2000000000003</v>
      </c>
      <c r="AW175" s="35">
        <f>H175*AO175</f>
        <v>0</v>
      </c>
      <c r="AX175" s="35">
        <f>H175*AP175</f>
        <v>3625.2000000000003</v>
      </c>
      <c r="AY175" s="80" t="s">
        <v>1670</v>
      </c>
      <c r="AZ175" s="80" t="s">
        <v>1732</v>
      </c>
      <c r="BA175" s="77" t="s">
        <v>1774</v>
      </c>
      <c r="BC175" s="35">
        <f>AW175+AX175</f>
        <v>3625.2000000000003</v>
      </c>
      <c r="BD175" s="35">
        <f>I175/(100-BE175)*100</f>
        <v>1007</v>
      </c>
      <c r="BE175" s="35">
        <v>0</v>
      </c>
      <c r="BF175" s="35">
        <f>175</f>
        <v>175</v>
      </c>
      <c r="BH175" s="64">
        <f>H175*AO175</f>
        <v>0</v>
      </c>
      <c r="BI175" s="64">
        <f>H175*AP175</f>
        <v>3625.2000000000003</v>
      </c>
      <c r="BJ175" s="64">
        <f>H175*I175</f>
        <v>3625.2000000000003</v>
      </c>
      <c r="BK175" s="64" t="s">
        <v>1790</v>
      </c>
      <c r="BL175" s="35">
        <v>31</v>
      </c>
    </row>
    <row r="176" spans="1:64">
      <c r="A176" s="46"/>
      <c r="B176" s="54" t="s">
        <v>61</v>
      </c>
      <c r="C176" s="54" t="s">
        <v>132</v>
      </c>
      <c r="D176" s="163" t="s">
        <v>183</v>
      </c>
      <c r="E176" s="164"/>
      <c r="F176" s="164"/>
      <c r="G176" s="61" t="s">
        <v>57</v>
      </c>
      <c r="H176" s="61" t="s">
        <v>57</v>
      </c>
      <c r="I176" s="61" t="s">
        <v>57</v>
      </c>
      <c r="J176" s="83">
        <f>SUM(J177:J177)</f>
        <v>0</v>
      </c>
      <c r="K176" s="83">
        <f>SUM(K177:K177)</f>
        <v>10855.8</v>
      </c>
      <c r="L176" s="83">
        <f>SUM(L177:L177)</f>
        <v>10855.8</v>
      </c>
      <c r="M176" s="72"/>
      <c r="N176" s="19"/>
      <c r="AI176" s="77" t="s">
        <v>61</v>
      </c>
      <c r="AS176" s="83">
        <f>SUM(AJ177:AJ177)</f>
        <v>0</v>
      </c>
      <c r="AT176" s="83">
        <f>SUM(AK177:AK177)</f>
        <v>0</v>
      </c>
      <c r="AU176" s="83">
        <f>SUM(AL177:AL177)</f>
        <v>10855.8</v>
      </c>
    </row>
    <row r="177" spans="1:64">
      <c r="A177" s="47" t="s">
        <v>315</v>
      </c>
      <c r="B177" s="55" t="s">
        <v>61</v>
      </c>
      <c r="C177" s="55" t="s">
        <v>732</v>
      </c>
      <c r="D177" s="165" t="s">
        <v>1125</v>
      </c>
      <c r="E177" s="166"/>
      <c r="F177" s="166"/>
      <c r="G177" s="55" t="s">
        <v>1632</v>
      </c>
      <c r="H177" s="64">
        <v>66.599999999999994</v>
      </c>
      <c r="I177" s="64">
        <v>163</v>
      </c>
      <c r="J177" s="64">
        <f>H177*AO177</f>
        <v>0</v>
      </c>
      <c r="K177" s="64">
        <f>H177*AP177</f>
        <v>10855.8</v>
      </c>
      <c r="L177" s="64">
        <f>H177*I177</f>
        <v>10855.8</v>
      </c>
      <c r="M177" s="73" t="s">
        <v>1657</v>
      </c>
      <c r="N177" s="19"/>
      <c r="Z177" s="35">
        <f>IF(AQ177="5",BJ177,0)</f>
        <v>0</v>
      </c>
      <c r="AB177" s="35">
        <f>IF(AQ177="1",BH177,0)</f>
        <v>0</v>
      </c>
      <c r="AC177" s="35">
        <f>IF(AQ177="1",BI177,0)</f>
        <v>10855.8</v>
      </c>
      <c r="AD177" s="35">
        <f>IF(AQ177="7",BH177,0)</f>
        <v>0</v>
      </c>
      <c r="AE177" s="35">
        <f>IF(AQ177="7",BI177,0)</f>
        <v>0</v>
      </c>
      <c r="AF177" s="35">
        <f>IF(AQ177="2",BH177,0)</f>
        <v>0</v>
      </c>
      <c r="AG177" s="35">
        <f>IF(AQ177="2",BI177,0)</f>
        <v>0</v>
      </c>
      <c r="AH177" s="35">
        <f>IF(AQ177="0",BJ177,0)</f>
        <v>0</v>
      </c>
      <c r="AI177" s="77" t="s">
        <v>61</v>
      </c>
      <c r="AJ177" s="64">
        <f>IF(AN177=0,L177,0)</f>
        <v>0</v>
      </c>
      <c r="AK177" s="64">
        <f>IF(AN177=15,L177,0)</f>
        <v>0</v>
      </c>
      <c r="AL177" s="64">
        <f>IF(AN177=21,L177,0)</f>
        <v>10855.8</v>
      </c>
      <c r="AN177" s="35">
        <v>21</v>
      </c>
      <c r="AO177" s="35">
        <f>I177*0</f>
        <v>0</v>
      </c>
      <c r="AP177" s="35">
        <f>I177*(1-0)</f>
        <v>163</v>
      </c>
      <c r="AQ177" s="78" t="s">
        <v>109</v>
      </c>
      <c r="AV177" s="35">
        <f>AW177+AX177</f>
        <v>10855.8</v>
      </c>
      <c r="AW177" s="35">
        <f>H177*AO177</f>
        <v>0</v>
      </c>
      <c r="AX177" s="35">
        <f>H177*AP177</f>
        <v>10855.8</v>
      </c>
      <c r="AY177" s="80" t="s">
        <v>1671</v>
      </c>
      <c r="AZ177" s="80" t="s">
        <v>1733</v>
      </c>
      <c r="BA177" s="77" t="s">
        <v>1774</v>
      </c>
      <c r="BC177" s="35">
        <f>AW177+AX177</f>
        <v>10855.8</v>
      </c>
      <c r="BD177" s="35">
        <f>I177/(100-BE177)*100</f>
        <v>163</v>
      </c>
      <c r="BE177" s="35">
        <v>0</v>
      </c>
      <c r="BF177" s="35">
        <f>177</f>
        <v>177</v>
      </c>
      <c r="BH177" s="64">
        <f>H177*AO177</f>
        <v>0</v>
      </c>
      <c r="BI177" s="64">
        <f>H177*AP177</f>
        <v>10855.8</v>
      </c>
      <c r="BJ177" s="64">
        <f>H177*I177</f>
        <v>10855.8</v>
      </c>
      <c r="BK177" s="64" t="s">
        <v>1790</v>
      </c>
      <c r="BL177" s="35">
        <v>60</v>
      </c>
    </row>
    <row r="178" spans="1:64">
      <c r="A178" s="19"/>
      <c r="C178" s="59" t="s">
        <v>730</v>
      </c>
      <c r="D178" s="167" t="s">
        <v>1126</v>
      </c>
      <c r="E178" s="168"/>
      <c r="F178" s="168"/>
      <c r="G178" s="168"/>
      <c r="H178" s="168"/>
      <c r="I178" s="168"/>
      <c r="J178" s="168"/>
      <c r="K178" s="168"/>
      <c r="L178" s="168"/>
      <c r="M178" s="169"/>
      <c r="N178" s="19"/>
    </row>
    <row r="179" spans="1:64">
      <c r="A179" s="46"/>
      <c r="B179" s="54" t="s">
        <v>61</v>
      </c>
      <c r="C179" s="54" t="s">
        <v>133</v>
      </c>
      <c r="D179" s="163" t="s">
        <v>184</v>
      </c>
      <c r="E179" s="164"/>
      <c r="F179" s="164"/>
      <c r="G179" s="61" t="s">
        <v>57</v>
      </c>
      <c r="H179" s="61" t="s">
        <v>57</v>
      </c>
      <c r="I179" s="61" t="s">
        <v>57</v>
      </c>
      <c r="J179" s="83">
        <f>SUM(J180:J183)</f>
        <v>0</v>
      </c>
      <c r="K179" s="83">
        <f>SUM(K180:K183)</f>
        <v>55730.400000000001</v>
      </c>
      <c r="L179" s="83">
        <f>SUM(L180:L183)</f>
        <v>55730.400000000001</v>
      </c>
      <c r="M179" s="72"/>
      <c r="N179" s="19"/>
      <c r="AI179" s="77" t="s">
        <v>61</v>
      </c>
      <c r="AS179" s="83">
        <f>SUM(AJ180:AJ183)</f>
        <v>0</v>
      </c>
      <c r="AT179" s="83">
        <f>SUM(AK180:AK183)</f>
        <v>0</v>
      </c>
      <c r="AU179" s="83">
        <f>SUM(AL180:AL183)</f>
        <v>55730.400000000001</v>
      </c>
    </row>
    <row r="180" spans="1:64">
      <c r="A180" s="47" t="s">
        <v>316</v>
      </c>
      <c r="B180" s="55" t="s">
        <v>61</v>
      </c>
      <c r="C180" s="55" t="s">
        <v>835</v>
      </c>
      <c r="D180" s="165" t="s">
        <v>1241</v>
      </c>
      <c r="E180" s="166"/>
      <c r="F180" s="166"/>
      <c r="G180" s="55" t="s">
        <v>1633</v>
      </c>
      <c r="H180" s="64">
        <v>420</v>
      </c>
      <c r="I180" s="64">
        <v>58</v>
      </c>
      <c r="J180" s="64">
        <f>H180*AO180</f>
        <v>0</v>
      </c>
      <c r="K180" s="64">
        <f>H180*AP180</f>
        <v>24360</v>
      </c>
      <c r="L180" s="64">
        <f>H180*I180</f>
        <v>24360</v>
      </c>
      <c r="M180" s="73" t="s">
        <v>1657</v>
      </c>
      <c r="N180" s="19"/>
      <c r="Z180" s="35">
        <f>IF(AQ180="5",BJ180,0)</f>
        <v>0</v>
      </c>
      <c r="AB180" s="35">
        <f>IF(AQ180="1",BH180,0)</f>
        <v>0</v>
      </c>
      <c r="AC180" s="35">
        <f>IF(AQ180="1",BI180,0)</f>
        <v>24360</v>
      </c>
      <c r="AD180" s="35">
        <f>IF(AQ180="7",BH180,0)</f>
        <v>0</v>
      </c>
      <c r="AE180" s="35">
        <f>IF(AQ180="7",BI180,0)</f>
        <v>0</v>
      </c>
      <c r="AF180" s="35">
        <f>IF(AQ180="2",BH180,0)</f>
        <v>0</v>
      </c>
      <c r="AG180" s="35">
        <f>IF(AQ180="2",BI180,0)</f>
        <v>0</v>
      </c>
      <c r="AH180" s="35">
        <f>IF(AQ180="0",BJ180,0)</f>
        <v>0</v>
      </c>
      <c r="AI180" s="77" t="s">
        <v>61</v>
      </c>
      <c r="AJ180" s="64">
        <f>IF(AN180=0,L180,0)</f>
        <v>0</v>
      </c>
      <c r="AK180" s="64">
        <f>IF(AN180=15,L180,0)</f>
        <v>0</v>
      </c>
      <c r="AL180" s="64">
        <f>IF(AN180=21,L180,0)</f>
        <v>24360</v>
      </c>
      <c r="AN180" s="35">
        <v>21</v>
      </c>
      <c r="AO180" s="35">
        <f>I180*0</f>
        <v>0</v>
      </c>
      <c r="AP180" s="35">
        <f>I180*(1-0)</f>
        <v>58</v>
      </c>
      <c r="AQ180" s="78" t="s">
        <v>109</v>
      </c>
      <c r="AV180" s="35">
        <f>AW180+AX180</f>
        <v>24360</v>
      </c>
      <c r="AW180" s="35">
        <f>H180*AO180</f>
        <v>0</v>
      </c>
      <c r="AX180" s="35">
        <f>H180*AP180</f>
        <v>24360</v>
      </c>
      <c r="AY180" s="80" t="s">
        <v>1672</v>
      </c>
      <c r="AZ180" s="80" t="s">
        <v>1733</v>
      </c>
      <c r="BA180" s="77" t="s">
        <v>1774</v>
      </c>
      <c r="BC180" s="35">
        <f>AW180+AX180</f>
        <v>24360</v>
      </c>
      <c r="BD180" s="35">
        <f>I180/(100-BE180)*100</f>
        <v>57.999999999999993</v>
      </c>
      <c r="BE180" s="35">
        <v>0</v>
      </c>
      <c r="BF180" s="35">
        <f>180</f>
        <v>180</v>
      </c>
      <c r="BH180" s="64">
        <f>H180*AO180</f>
        <v>0</v>
      </c>
      <c r="BI180" s="64">
        <f>H180*AP180</f>
        <v>24360</v>
      </c>
      <c r="BJ180" s="64">
        <f>H180*I180</f>
        <v>24360</v>
      </c>
      <c r="BK180" s="64" t="s">
        <v>1790</v>
      </c>
      <c r="BL180" s="35">
        <v>61</v>
      </c>
    </row>
    <row r="181" spans="1:64">
      <c r="A181" s="19"/>
      <c r="C181" s="59" t="s">
        <v>730</v>
      </c>
      <c r="D181" s="167" t="s">
        <v>1123</v>
      </c>
      <c r="E181" s="168"/>
      <c r="F181" s="168"/>
      <c r="G181" s="168"/>
      <c r="H181" s="168"/>
      <c r="I181" s="168"/>
      <c r="J181" s="168"/>
      <c r="K181" s="168"/>
      <c r="L181" s="168"/>
      <c r="M181" s="169"/>
      <c r="N181" s="19"/>
    </row>
    <row r="182" spans="1:64">
      <c r="A182" s="47" t="s">
        <v>317</v>
      </c>
      <c r="B182" s="55" t="s">
        <v>61</v>
      </c>
      <c r="C182" s="55" t="s">
        <v>733</v>
      </c>
      <c r="D182" s="165" t="s">
        <v>1127</v>
      </c>
      <c r="E182" s="166"/>
      <c r="F182" s="166"/>
      <c r="G182" s="55" t="s">
        <v>1632</v>
      </c>
      <c r="H182" s="64">
        <v>3.6</v>
      </c>
      <c r="I182" s="64">
        <v>314</v>
      </c>
      <c r="J182" s="64">
        <f>H182*AO182</f>
        <v>0</v>
      </c>
      <c r="K182" s="64">
        <f>H182*AP182</f>
        <v>1130.4000000000001</v>
      </c>
      <c r="L182" s="64">
        <f>H182*I182</f>
        <v>1130.4000000000001</v>
      </c>
      <c r="M182" s="73" t="s">
        <v>1657</v>
      </c>
      <c r="N182" s="19"/>
      <c r="Z182" s="35">
        <f>IF(AQ182="5",BJ182,0)</f>
        <v>0</v>
      </c>
      <c r="AB182" s="35">
        <f>IF(AQ182="1",BH182,0)</f>
        <v>0</v>
      </c>
      <c r="AC182" s="35">
        <f>IF(AQ182="1",BI182,0)</f>
        <v>1130.4000000000001</v>
      </c>
      <c r="AD182" s="35">
        <f>IF(AQ182="7",BH182,0)</f>
        <v>0</v>
      </c>
      <c r="AE182" s="35">
        <f>IF(AQ182="7",BI182,0)</f>
        <v>0</v>
      </c>
      <c r="AF182" s="35">
        <f>IF(AQ182="2",BH182,0)</f>
        <v>0</v>
      </c>
      <c r="AG182" s="35">
        <f>IF(AQ182="2",BI182,0)</f>
        <v>0</v>
      </c>
      <c r="AH182" s="35">
        <f>IF(AQ182="0",BJ182,0)</f>
        <v>0</v>
      </c>
      <c r="AI182" s="77" t="s">
        <v>61</v>
      </c>
      <c r="AJ182" s="64">
        <f>IF(AN182=0,L182,0)</f>
        <v>0</v>
      </c>
      <c r="AK182" s="64">
        <f>IF(AN182=15,L182,0)</f>
        <v>0</v>
      </c>
      <c r="AL182" s="64">
        <f>IF(AN182=21,L182,0)</f>
        <v>1130.4000000000001</v>
      </c>
      <c r="AN182" s="35">
        <v>21</v>
      </c>
      <c r="AO182" s="35">
        <f>I182*0</f>
        <v>0</v>
      </c>
      <c r="AP182" s="35">
        <f>I182*(1-0)</f>
        <v>314</v>
      </c>
      <c r="AQ182" s="78" t="s">
        <v>109</v>
      </c>
      <c r="AV182" s="35">
        <f>AW182+AX182</f>
        <v>1130.4000000000001</v>
      </c>
      <c r="AW182" s="35">
        <f>H182*AO182</f>
        <v>0</v>
      </c>
      <c r="AX182" s="35">
        <f>H182*AP182</f>
        <v>1130.4000000000001</v>
      </c>
      <c r="AY182" s="80" t="s">
        <v>1672</v>
      </c>
      <c r="AZ182" s="80" t="s">
        <v>1733</v>
      </c>
      <c r="BA182" s="77" t="s">
        <v>1774</v>
      </c>
      <c r="BC182" s="35">
        <f>AW182+AX182</f>
        <v>1130.4000000000001</v>
      </c>
      <c r="BD182" s="35">
        <f>I182/(100-BE182)*100</f>
        <v>314</v>
      </c>
      <c r="BE182" s="35">
        <v>0</v>
      </c>
      <c r="BF182" s="35">
        <f>182</f>
        <v>182</v>
      </c>
      <c r="BH182" s="64">
        <f>H182*AO182</f>
        <v>0</v>
      </c>
      <c r="BI182" s="64">
        <f>H182*AP182</f>
        <v>1130.4000000000001</v>
      </c>
      <c r="BJ182" s="64">
        <f>H182*I182</f>
        <v>1130.4000000000001</v>
      </c>
      <c r="BK182" s="64" t="s">
        <v>1790</v>
      </c>
      <c r="BL182" s="35">
        <v>61</v>
      </c>
    </row>
    <row r="183" spans="1:64">
      <c r="A183" s="47" t="s">
        <v>318</v>
      </c>
      <c r="B183" s="55" t="s">
        <v>61</v>
      </c>
      <c r="C183" s="55" t="s">
        <v>836</v>
      </c>
      <c r="D183" s="165" t="s">
        <v>1242</v>
      </c>
      <c r="E183" s="166"/>
      <c r="F183" s="166"/>
      <c r="G183" s="55" t="s">
        <v>1632</v>
      </c>
      <c r="H183" s="64">
        <v>63</v>
      </c>
      <c r="I183" s="64">
        <v>480</v>
      </c>
      <c r="J183" s="64">
        <f>H183*AO183</f>
        <v>0</v>
      </c>
      <c r="K183" s="64">
        <f>H183*AP183</f>
        <v>30240</v>
      </c>
      <c r="L183" s="64">
        <f>H183*I183</f>
        <v>30240</v>
      </c>
      <c r="M183" s="73" t="s">
        <v>1659</v>
      </c>
      <c r="N183" s="19"/>
      <c r="Z183" s="35">
        <f>IF(AQ183="5",BJ183,0)</f>
        <v>0</v>
      </c>
      <c r="AB183" s="35">
        <f>IF(AQ183="1",BH183,0)</f>
        <v>0</v>
      </c>
      <c r="AC183" s="35">
        <f>IF(AQ183="1",BI183,0)</f>
        <v>30240</v>
      </c>
      <c r="AD183" s="35">
        <f>IF(AQ183="7",BH183,0)</f>
        <v>0</v>
      </c>
      <c r="AE183" s="35">
        <f>IF(AQ183="7",BI183,0)</f>
        <v>0</v>
      </c>
      <c r="AF183" s="35">
        <f>IF(AQ183="2",BH183,0)</f>
        <v>0</v>
      </c>
      <c r="AG183" s="35">
        <f>IF(AQ183="2",BI183,0)</f>
        <v>0</v>
      </c>
      <c r="AH183" s="35">
        <f>IF(AQ183="0",BJ183,0)</f>
        <v>0</v>
      </c>
      <c r="AI183" s="77" t="s">
        <v>61</v>
      </c>
      <c r="AJ183" s="64">
        <f>IF(AN183=0,L183,0)</f>
        <v>0</v>
      </c>
      <c r="AK183" s="64">
        <f>IF(AN183=15,L183,0)</f>
        <v>0</v>
      </c>
      <c r="AL183" s="64">
        <f>IF(AN183=21,L183,0)</f>
        <v>30240</v>
      </c>
      <c r="AN183" s="35">
        <v>21</v>
      </c>
      <c r="AO183" s="35">
        <f>I183*0</f>
        <v>0</v>
      </c>
      <c r="AP183" s="35">
        <f>I183*(1-0)</f>
        <v>480</v>
      </c>
      <c r="AQ183" s="78" t="s">
        <v>109</v>
      </c>
      <c r="AV183" s="35">
        <f>AW183+AX183</f>
        <v>30240</v>
      </c>
      <c r="AW183" s="35">
        <f>H183*AO183</f>
        <v>0</v>
      </c>
      <c r="AX183" s="35">
        <f>H183*AP183</f>
        <v>30240</v>
      </c>
      <c r="AY183" s="80" t="s">
        <v>1672</v>
      </c>
      <c r="AZ183" s="80" t="s">
        <v>1733</v>
      </c>
      <c r="BA183" s="77" t="s">
        <v>1774</v>
      </c>
      <c r="BC183" s="35">
        <f>AW183+AX183</f>
        <v>30240</v>
      </c>
      <c r="BD183" s="35">
        <f>I183/(100-BE183)*100</f>
        <v>480</v>
      </c>
      <c r="BE183" s="35">
        <v>0</v>
      </c>
      <c r="BF183" s="35">
        <f>183</f>
        <v>183</v>
      </c>
      <c r="BH183" s="64">
        <f>H183*AO183</f>
        <v>0</v>
      </c>
      <c r="BI183" s="64">
        <f>H183*AP183</f>
        <v>30240</v>
      </c>
      <c r="BJ183" s="64">
        <f>H183*I183</f>
        <v>30240</v>
      </c>
      <c r="BK183" s="64" t="s">
        <v>1790</v>
      </c>
      <c r="BL183" s="35">
        <v>61</v>
      </c>
    </row>
    <row r="184" spans="1:64">
      <c r="A184" s="19"/>
      <c r="C184" s="59" t="s">
        <v>730</v>
      </c>
      <c r="D184" s="167" t="s">
        <v>1123</v>
      </c>
      <c r="E184" s="168"/>
      <c r="F184" s="168"/>
      <c r="G184" s="168"/>
      <c r="H184" s="168"/>
      <c r="I184" s="168"/>
      <c r="J184" s="168"/>
      <c r="K184" s="168"/>
      <c r="L184" s="168"/>
      <c r="M184" s="169"/>
      <c r="N184" s="19"/>
    </row>
    <row r="185" spans="1:64">
      <c r="A185" s="46"/>
      <c r="B185" s="54" t="s">
        <v>61</v>
      </c>
      <c r="C185" s="54" t="s">
        <v>134</v>
      </c>
      <c r="D185" s="163" t="s">
        <v>185</v>
      </c>
      <c r="E185" s="164"/>
      <c r="F185" s="164"/>
      <c r="G185" s="61" t="s">
        <v>57</v>
      </c>
      <c r="H185" s="61" t="s">
        <v>57</v>
      </c>
      <c r="I185" s="61" t="s">
        <v>57</v>
      </c>
      <c r="J185" s="83">
        <f>SUM(J186:J186)</f>
        <v>0</v>
      </c>
      <c r="K185" s="83">
        <f>SUM(K186:K186)</f>
        <v>3528</v>
      </c>
      <c r="L185" s="83">
        <f>SUM(L186:L186)</f>
        <v>3528</v>
      </c>
      <c r="M185" s="72"/>
      <c r="N185" s="19"/>
      <c r="AI185" s="77" t="s">
        <v>61</v>
      </c>
      <c r="AS185" s="83">
        <f>SUM(AJ186:AJ186)</f>
        <v>0</v>
      </c>
      <c r="AT185" s="83">
        <f>SUM(AK186:AK186)</f>
        <v>0</v>
      </c>
      <c r="AU185" s="83">
        <f>SUM(AL186:AL186)</f>
        <v>3528</v>
      </c>
    </row>
    <row r="186" spans="1:64">
      <c r="A186" s="47" t="s">
        <v>319</v>
      </c>
      <c r="B186" s="55" t="s">
        <v>61</v>
      </c>
      <c r="C186" s="55" t="s">
        <v>837</v>
      </c>
      <c r="D186" s="165" t="s">
        <v>1243</v>
      </c>
      <c r="E186" s="166"/>
      <c r="F186" s="166"/>
      <c r="G186" s="55" t="s">
        <v>1633</v>
      </c>
      <c r="H186" s="64">
        <v>42</v>
      </c>
      <c r="I186" s="64">
        <v>84</v>
      </c>
      <c r="J186" s="64">
        <f>H186*AO186</f>
        <v>0</v>
      </c>
      <c r="K186" s="64">
        <f>H186*AP186</f>
        <v>3528</v>
      </c>
      <c r="L186" s="64">
        <f>H186*I186</f>
        <v>3528</v>
      </c>
      <c r="M186" s="73" t="s">
        <v>1657</v>
      </c>
      <c r="N186" s="19"/>
      <c r="Z186" s="35">
        <f>IF(AQ186="5",BJ186,0)</f>
        <v>0</v>
      </c>
      <c r="AB186" s="35">
        <f>IF(AQ186="1",BH186,0)</f>
        <v>0</v>
      </c>
      <c r="AC186" s="35">
        <f>IF(AQ186="1",BI186,0)</f>
        <v>3528</v>
      </c>
      <c r="AD186" s="35">
        <f>IF(AQ186="7",BH186,0)</f>
        <v>0</v>
      </c>
      <c r="AE186" s="35">
        <f>IF(AQ186="7",BI186,0)</f>
        <v>0</v>
      </c>
      <c r="AF186" s="35">
        <f>IF(AQ186="2",BH186,0)</f>
        <v>0</v>
      </c>
      <c r="AG186" s="35">
        <f>IF(AQ186="2",BI186,0)</f>
        <v>0</v>
      </c>
      <c r="AH186" s="35">
        <f>IF(AQ186="0",BJ186,0)</f>
        <v>0</v>
      </c>
      <c r="AI186" s="77" t="s">
        <v>61</v>
      </c>
      <c r="AJ186" s="64">
        <f>IF(AN186=0,L186,0)</f>
        <v>0</v>
      </c>
      <c r="AK186" s="64">
        <f>IF(AN186=15,L186,0)</f>
        <v>0</v>
      </c>
      <c r="AL186" s="64">
        <f>IF(AN186=21,L186,0)</f>
        <v>3528</v>
      </c>
      <c r="AN186" s="35">
        <v>21</v>
      </c>
      <c r="AO186" s="35">
        <f>I186*0</f>
        <v>0</v>
      </c>
      <c r="AP186" s="35">
        <f>I186*(1-0)</f>
        <v>84</v>
      </c>
      <c r="AQ186" s="78" t="s">
        <v>109</v>
      </c>
      <c r="AV186" s="35">
        <f>AW186+AX186</f>
        <v>3528</v>
      </c>
      <c r="AW186" s="35">
        <f>H186*AO186</f>
        <v>0</v>
      </c>
      <c r="AX186" s="35">
        <f>H186*AP186</f>
        <v>3528</v>
      </c>
      <c r="AY186" s="80" t="s">
        <v>1673</v>
      </c>
      <c r="AZ186" s="80" t="s">
        <v>1733</v>
      </c>
      <c r="BA186" s="77" t="s">
        <v>1774</v>
      </c>
      <c r="BC186" s="35">
        <f>AW186+AX186</f>
        <v>3528</v>
      </c>
      <c r="BD186" s="35">
        <f>I186/(100-BE186)*100</f>
        <v>84</v>
      </c>
      <c r="BE186" s="35">
        <v>0</v>
      </c>
      <c r="BF186" s="35">
        <f>186</f>
        <v>186</v>
      </c>
      <c r="BH186" s="64">
        <f>H186*AO186</f>
        <v>0</v>
      </c>
      <c r="BI186" s="64">
        <f>H186*AP186</f>
        <v>3528</v>
      </c>
      <c r="BJ186" s="64">
        <f>H186*I186</f>
        <v>3528</v>
      </c>
      <c r="BK186" s="64" t="s">
        <v>1790</v>
      </c>
      <c r="BL186" s="35">
        <v>62</v>
      </c>
    </row>
    <row r="187" spans="1:64">
      <c r="A187" s="46"/>
      <c r="B187" s="54" t="s">
        <v>61</v>
      </c>
      <c r="C187" s="54" t="s">
        <v>136</v>
      </c>
      <c r="D187" s="163" t="s">
        <v>187</v>
      </c>
      <c r="E187" s="164"/>
      <c r="F187" s="164"/>
      <c r="G187" s="61" t="s">
        <v>57</v>
      </c>
      <c r="H187" s="61" t="s">
        <v>57</v>
      </c>
      <c r="I187" s="61" t="s">
        <v>57</v>
      </c>
      <c r="J187" s="83">
        <f>SUM(J188:J196)</f>
        <v>307356</v>
      </c>
      <c r="K187" s="83">
        <f>SUM(K188:K196)</f>
        <v>37278.45304</v>
      </c>
      <c r="L187" s="83">
        <f>SUM(L188:L196)</f>
        <v>344634.45303999999</v>
      </c>
      <c r="M187" s="72"/>
      <c r="N187" s="19"/>
      <c r="AI187" s="77" t="s">
        <v>61</v>
      </c>
      <c r="AS187" s="83">
        <f>SUM(AJ188:AJ196)</f>
        <v>0</v>
      </c>
      <c r="AT187" s="83">
        <f>SUM(AK188:AK196)</f>
        <v>0</v>
      </c>
      <c r="AU187" s="83">
        <f>SUM(AL188:AL196)</f>
        <v>344634.45303999999</v>
      </c>
    </row>
    <row r="188" spans="1:64">
      <c r="A188" s="47" t="s">
        <v>320</v>
      </c>
      <c r="B188" s="55" t="s">
        <v>61</v>
      </c>
      <c r="C188" s="55" t="s">
        <v>838</v>
      </c>
      <c r="D188" s="165" t="s">
        <v>1244</v>
      </c>
      <c r="E188" s="166"/>
      <c r="F188" s="166"/>
      <c r="G188" s="55" t="s">
        <v>1631</v>
      </c>
      <c r="H188" s="64">
        <v>4</v>
      </c>
      <c r="I188" s="64">
        <v>2257</v>
      </c>
      <c r="J188" s="64">
        <f t="shared" ref="J188:J196" si="162">H188*AO188</f>
        <v>0</v>
      </c>
      <c r="K188" s="64">
        <f t="shared" ref="K188:K196" si="163">H188*AP188</f>
        <v>9028</v>
      </c>
      <c r="L188" s="64">
        <f t="shared" ref="L188:L196" si="164">H188*I188</f>
        <v>9028</v>
      </c>
      <c r="M188" s="73" t="s">
        <v>1657</v>
      </c>
      <c r="N188" s="19"/>
      <c r="Z188" s="35">
        <f t="shared" ref="Z188:Z196" si="165">IF(AQ188="5",BJ188,0)</f>
        <v>0</v>
      </c>
      <c r="AB188" s="35">
        <f t="shared" ref="AB188:AB196" si="166">IF(AQ188="1",BH188,0)</f>
        <v>0</v>
      </c>
      <c r="AC188" s="35">
        <f t="shared" ref="AC188:AC196" si="167">IF(AQ188="1",BI188,0)</f>
        <v>0</v>
      </c>
      <c r="AD188" s="35">
        <f t="shared" ref="AD188:AD196" si="168">IF(AQ188="7",BH188,0)</f>
        <v>0</v>
      </c>
      <c r="AE188" s="35">
        <f t="shared" ref="AE188:AE196" si="169">IF(AQ188="7",BI188,0)</f>
        <v>9028</v>
      </c>
      <c r="AF188" s="35">
        <f t="shared" ref="AF188:AF196" si="170">IF(AQ188="2",BH188,0)</f>
        <v>0</v>
      </c>
      <c r="AG188" s="35">
        <f t="shared" ref="AG188:AG196" si="171">IF(AQ188="2",BI188,0)</f>
        <v>0</v>
      </c>
      <c r="AH188" s="35">
        <f t="shared" ref="AH188:AH196" si="172">IF(AQ188="0",BJ188,0)</f>
        <v>0</v>
      </c>
      <c r="AI188" s="77" t="s">
        <v>61</v>
      </c>
      <c r="AJ188" s="64">
        <f t="shared" ref="AJ188:AJ196" si="173">IF(AN188=0,L188,0)</f>
        <v>0</v>
      </c>
      <c r="AK188" s="64">
        <f t="shared" ref="AK188:AK196" si="174">IF(AN188=15,L188,0)</f>
        <v>0</v>
      </c>
      <c r="AL188" s="64">
        <f t="shared" ref="AL188:AL196" si="175">IF(AN188=21,L188,0)</f>
        <v>9028</v>
      </c>
      <c r="AN188" s="35">
        <v>21</v>
      </c>
      <c r="AO188" s="35">
        <f>I188*0</f>
        <v>0</v>
      </c>
      <c r="AP188" s="35">
        <f>I188*(1-0)</f>
        <v>2257</v>
      </c>
      <c r="AQ188" s="78" t="s">
        <v>235</v>
      </c>
      <c r="AV188" s="35">
        <f t="shared" ref="AV188:AV196" si="176">AW188+AX188</f>
        <v>9028</v>
      </c>
      <c r="AW188" s="35">
        <f t="shared" ref="AW188:AW196" si="177">H188*AO188</f>
        <v>0</v>
      </c>
      <c r="AX188" s="35">
        <f t="shared" ref="AX188:AX196" si="178">H188*AP188</f>
        <v>9028</v>
      </c>
      <c r="AY188" s="80" t="s">
        <v>1675</v>
      </c>
      <c r="AZ188" s="80" t="s">
        <v>1734</v>
      </c>
      <c r="BA188" s="77" t="s">
        <v>1774</v>
      </c>
      <c r="BC188" s="35">
        <f t="shared" ref="BC188:BC196" si="179">AW188+AX188</f>
        <v>9028</v>
      </c>
      <c r="BD188" s="35">
        <f t="shared" ref="BD188:BD196" si="180">I188/(100-BE188)*100</f>
        <v>2257</v>
      </c>
      <c r="BE188" s="35">
        <v>0</v>
      </c>
      <c r="BF188" s="35">
        <f>188</f>
        <v>188</v>
      </c>
      <c r="BH188" s="64">
        <f t="shared" ref="BH188:BH196" si="181">H188*AO188</f>
        <v>0</v>
      </c>
      <c r="BI188" s="64">
        <f t="shared" ref="BI188:BI196" si="182">H188*AP188</f>
        <v>9028</v>
      </c>
      <c r="BJ188" s="64">
        <f t="shared" ref="BJ188:BJ196" si="183">H188*I188</f>
        <v>9028</v>
      </c>
      <c r="BK188" s="64" t="s">
        <v>1790</v>
      </c>
      <c r="BL188" s="35">
        <v>767</v>
      </c>
    </row>
    <row r="189" spans="1:64">
      <c r="A189" s="47" t="s">
        <v>321</v>
      </c>
      <c r="B189" s="55" t="s">
        <v>61</v>
      </c>
      <c r="C189" s="55" t="s">
        <v>839</v>
      </c>
      <c r="D189" s="165" t="s">
        <v>1245</v>
      </c>
      <c r="E189" s="166"/>
      <c r="F189" s="166"/>
      <c r="G189" s="55" t="s">
        <v>1632</v>
      </c>
      <c r="H189" s="64">
        <v>21.24</v>
      </c>
      <c r="I189" s="64">
        <v>1253</v>
      </c>
      <c r="J189" s="64">
        <f t="shared" si="162"/>
        <v>0</v>
      </c>
      <c r="K189" s="64">
        <f t="shared" si="163"/>
        <v>26613.719999999998</v>
      </c>
      <c r="L189" s="64">
        <f t="shared" si="164"/>
        <v>26613.719999999998</v>
      </c>
      <c r="M189" s="73" t="s">
        <v>1657</v>
      </c>
      <c r="N189" s="19"/>
      <c r="Z189" s="35">
        <f t="shared" si="165"/>
        <v>0</v>
      </c>
      <c r="AB189" s="35">
        <f t="shared" si="166"/>
        <v>0</v>
      </c>
      <c r="AC189" s="35">
        <f t="shared" si="167"/>
        <v>0</v>
      </c>
      <c r="AD189" s="35">
        <f t="shared" si="168"/>
        <v>0</v>
      </c>
      <c r="AE189" s="35">
        <f t="shared" si="169"/>
        <v>26613.719999999998</v>
      </c>
      <c r="AF189" s="35">
        <f t="shared" si="170"/>
        <v>0</v>
      </c>
      <c r="AG189" s="35">
        <f t="shared" si="171"/>
        <v>0</v>
      </c>
      <c r="AH189" s="35">
        <f t="shared" si="172"/>
        <v>0</v>
      </c>
      <c r="AI189" s="77" t="s">
        <v>61</v>
      </c>
      <c r="AJ189" s="64">
        <f t="shared" si="173"/>
        <v>0</v>
      </c>
      <c r="AK189" s="64">
        <f t="shared" si="174"/>
        <v>0</v>
      </c>
      <c r="AL189" s="64">
        <f t="shared" si="175"/>
        <v>26613.719999999998</v>
      </c>
      <c r="AN189" s="35">
        <v>21</v>
      </c>
      <c r="AO189" s="35">
        <f>I189*0</f>
        <v>0</v>
      </c>
      <c r="AP189" s="35">
        <f>I189*(1-0)</f>
        <v>1253</v>
      </c>
      <c r="AQ189" s="78" t="s">
        <v>235</v>
      </c>
      <c r="AV189" s="35">
        <f t="shared" si="176"/>
        <v>26613.719999999998</v>
      </c>
      <c r="AW189" s="35">
        <f t="shared" si="177"/>
        <v>0</v>
      </c>
      <c r="AX189" s="35">
        <f t="shared" si="178"/>
        <v>26613.719999999998</v>
      </c>
      <c r="AY189" s="80" t="s">
        <v>1675</v>
      </c>
      <c r="AZ189" s="80" t="s">
        <v>1734</v>
      </c>
      <c r="BA189" s="77" t="s">
        <v>1774</v>
      </c>
      <c r="BC189" s="35">
        <f t="shared" si="179"/>
        <v>26613.719999999998</v>
      </c>
      <c r="BD189" s="35">
        <f t="shared" si="180"/>
        <v>1253</v>
      </c>
      <c r="BE189" s="35">
        <v>0</v>
      </c>
      <c r="BF189" s="35">
        <f>189</f>
        <v>189</v>
      </c>
      <c r="BH189" s="64">
        <f t="shared" si="181"/>
        <v>0</v>
      </c>
      <c r="BI189" s="64">
        <f t="shared" si="182"/>
        <v>26613.719999999998</v>
      </c>
      <c r="BJ189" s="64">
        <f t="shared" si="183"/>
        <v>26613.719999999998</v>
      </c>
      <c r="BK189" s="64" t="s">
        <v>1790</v>
      </c>
      <c r="BL189" s="35">
        <v>767</v>
      </c>
    </row>
    <row r="190" spans="1:64">
      <c r="A190" s="48" t="s">
        <v>322</v>
      </c>
      <c r="B190" s="56" t="s">
        <v>61</v>
      </c>
      <c r="C190" s="56" t="s">
        <v>840</v>
      </c>
      <c r="D190" s="170" t="s">
        <v>1246</v>
      </c>
      <c r="E190" s="171"/>
      <c r="F190" s="171"/>
      <c r="G190" s="56" t="s">
        <v>1636</v>
      </c>
      <c r="H190" s="65">
        <v>4</v>
      </c>
      <c r="I190" s="65">
        <v>68100</v>
      </c>
      <c r="J190" s="65">
        <f t="shared" si="162"/>
        <v>272400</v>
      </c>
      <c r="K190" s="65">
        <f t="shared" si="163"/>
        <v>0</v>
      </c>
      <c r="L190" s="65">
        <f t="shared" si="164"/>
        <v>272400</v>
      </c>
      <c r="M190" s="74" t="s">
        <v>1658</v>
      </c>
      <c r="N190" s="19"/>
      <c r="Z190" s="35">
        <f t="shared" si="165"/>
        <v>0</v>
      </c>
      <c r="AB190" s="35">
        <f t="shared" si="166"/>
        <v>0</v>
      </c>
      <c r="AC190" s="35">
        <f t="shared" si="167"/>
        <v>0</v>
      </c>
      <c r="AD190" s="35">
        <f t="shared" si="168"/>
        <v>272400</v>
      </c>
      <c r="AE190" s="35">
        <f t="shared" si="169"/>
        <v>0</v>
      </c>
      <c r="AF190" s="35">
        <f t="shared" si="170"/>
        <v>0</v>
      </c>
      <c r="AG190" s="35">
        <f t="shared" si="171"/>
        <v>0</v>
      </c>
      <c r="AH190" s="35">
        <f t="shared" si="172"/>
        <v>0</v>
      </c>
      <c r="AI190" s="77" t="s">
        <v>61</v>
      </c>
      <c r="AJ190" s="65">
        <f t="shared" si="173"/>
        <v>0</v>
      </c>
      <c r="AK190" s="65">
        <f t="shared" si="174"/>
        <v>0</v>
      </c>
      <c r="AL190" s="65">
        <f t="shared" si="175"/>
        <v>272400</v>
      </c>
      <c r="AN190" s="35">
        <v>21</v>
      </c>
      <c r="AO190" s="35">
        <f>I190*1</f>
        <v>68100</v>
      </c>
      <c r="AP190" s="35">
        <f>I190*(1-1)</f>
        <v>0</v>
      </c>
      <c r="AQ190" s="79" t="s">
        <v>235</v>
      </c>
      <c r="AV190" s="35">
        <f t="shared" si="176"/>
        <v>272400</v>
      </c>
      <c r="AW190" s="35">
        <f t="shared" si="177"/>
        <v>272400</v>
      </c>
      <c r="AX190" s="35">
        <f t="shared" si="178"/>
        <v>0</v>
      </c>
      <c r="AY190" s="80" t="s">
        <v>1675</v>
      </c>
      <c r="AZ190" s="80" t="s">
        <v>1734</v>
      </c>
      <c r="BA190" s="77" t="s">
        <v>1774</v>
      </c>
      <c r="BC190" s="35">
        <f t="shared" si="179"/>
        <v>272400</v>
      </c>
      <c r="BD190" s="35">
        <f t="shared" si="180"/>
        <v>68100</v>
      </c>
      <c r="BE190" s="35">
        <v>0</v>
      </c>
      <c r="BF190" s="35">
        <f>190</f>
        <v>190</v>
      </c>
      <c r="BH190" s="65">
        <f t="shared" si="181"/>
        <v>272400</v>
      </c>
      <c r="BI190" s="65">
        <f t="shared" si="182"/>
        <v>0</v>
      </c>
      <c r="BJ190" s="65">
        <f t="shared" si="183"/>
        <v>272400</v>
      </c>
      <c r="BK190" s="65" t="s">
        <v>1642</v>
      </c>
      <c r="BL190" s="35">
        <v>767</v>
      </c>
    </row>
    <row r="191" spans="1:64">
      <c r="A191" s="47" t="s">
        <v>323</v>
      </c>
      <c r="B191" s="55" t="s">
        <v>61</v>
      </c>
      <c r="C191" s="55" t="s">
        <v>841</v>
      </c>
      <c r="D191" s="165" t="s">
        <v>1247</v>
      </c>
      <c r="E191" s="166"/>
      <c r="F191" s="166"/>
      <c r="G191" s="55" t="s">
        <v>1631</v>
      </c>
      <c r="H191" s="64">
        <v>4</v>
      </c>
      <c r="I191" s="64">
        <v>205.5</v>
      </c>
      <c r="J191" s="64">
        <f t="shared" si="162"/>
        <v>0</v>
      </c>
      <c r="K191" s="64">
        <f t="shared" si="163"/>
        <v>822</v>
      </c>
      <c r="L191" s="64">
        <f t="shared" si="164"/>
        <v>822</v>
      </c>
      <c r="M191" s="73" t="s">
        <v>1657</v>
      </c>
      <c r="N191" s="19"/>
      <c r="Z191" s="35">
        <f t="shared" si="165"/>
        <v>0</v>
      </c>
      <c r="AB191" s="35">
        <f t="shared" si="166"/>
        <v>0</v>
      </c>
      <c r="AC191" s="35">
        <f t="shared" si="167"/>
        <v>0</v>
      </c>
      <c r="AD191" s="35">
        <f t="shared" si="168"/>
        <v>0</v>
      </c>
      <c r="AE191" s="35">
        <f t="shared" si="169"/>
        <v>822</v>
      </c>
      <c r="AF191" s="35">
        <f t="shared" si="170"/>
        <v>0</v>
      </c>
      <c r="AG191" s="35">
        <f t="shared" si="171"/>
        <v>0</v>
      </c>
      <c r="AH191" s="35">
        <f t="shared" si="172"/>
        <v>0</v>
      </c>
      <c r="AI191" s="77" t="s">
        <v>61</v>
      </c>
      <c r="AJ191" s="64">
        <f t="shared" si="173"/>
        <v>0</v>
      </c>
      <c r="AK191" s="64">
        <f t="shared" si="174"/>
        <v>0</v>
      </c>
      <c r="AL191" s="64">
        <f t="shared" si="175"/>
        <v>822</v>
      </c>
      <c r="AN191" s="35">
        <v>21</v>
      </c>
      <c r="AO191" s="35">
        <f>I191*0</f>
        <v>0</v>
      </c>
      <c r="AP191" s="35">
        <f>I191*(1-0)</f>
        <v>205.5</v>
      </c>
      <c r="AQ191" s="78" t="s">
        <v>235</v>
      </c>
      <c r="AV191" s="35">
        <f t="shared" si="176"/>
        <v>822</v>
      </c>
      <c r="AW191" s="35">
        <f t="shared" si="177"/>
        <v>0</v>
      </c>
      <c r="AX191" s="35">
        <f t="shared" si="178"/>
        <v>822</v>
      </c>
      <c r="AY191" s="80" t="s">
        <v>1675</v>
      </c>
      <c r="AZ191" s="80" t="s">
        <v>1734</v>
      </c>
      <c r="BA191" s="77" t="s">
        <v>1774</v>
      </c>
      <c r="BC191" s="35">
        <f t="shared" si="179"/>
        <v>822</v>
      </c>
      <c r="BD191" s="35">
        <f t="shared" si="180"/>
        <v>205.50000000000003</v>
      </c>
      <c r="BE191" s="35">
        <v>0</v>
      </c>
      <c r="BF191" s="35">
        <f>191</f>
        <v>191</v>
      </c>
      <c r="BH191" s="64">
        <f t="shared" si="181"/>
        <v>0</v>
      </c>
      <c r="BI191" s="64">
        <f t="shared" si="182"/>
        <v>822</v>
      </c>
      <c r="BJ191" s="64">
        <f t="shared" si="183"/>
        <v>822</v>
      </c>
      <c r="BK191" s="64" t="s">
        <v>1790</v>
      </c>
      <c r="BL191" s="35">
        <v>767</v>
      </c>
    </row>
    <row r="192" spans="1:64">
      <c r="A192" s="48" t="s">
        <v>324</v>
      </c>
      <c r="B192" s="56" t="s">
        <v>61</v>
      </c>
      <c r="C192" s="56" t="s">
        <v>842</v>
      </c>
      <c r="D192" s="170" t="s">
        <v>1248</v>
      </c>
      <c r="E192" s="171"/>
      <c r="F192" s="171"/>
      <c r="G192" s="56" t="s">
        <v>1636</v>
      </c>
      <c r="H192" s="65">
        <v>4</v>
      </c>
      <c r="I192" s="65">
        <v>7011</v>
      </c>
      <c r="J192" s="65">
        <f t="shared" si="162"/>
        <v>28044</v>
      </c>
      <c r="K192" s="65">
        <f t="shared" si="163"/>
        <v>0</v>
      </c>
      <c r="L192" s="65">
        <f t="shared" si="164"/>
        <v>28044</v>
      </c>
      <c r="M192" s="74" t="s">
        <v>1658</v>
      </c>
      <c r="N192" s="19"/>
      <c r="Z192" s="35">
        <f t="shared" si="165"/>
        <v>0</v>
      </c>
      <c r="AB192" s="35">
        <f t="shared" si="166"/>
        <v>0</v>
      </c>
      <c r="AC192" s="35">
        <f t="shared" si="167"/>
        <v>0</v>
      </c>
      <c r="AD192" s="35">
        <f t="shared" si="168"/>
        <v>28044</v>
      </c>
      <c r="AE192" s="35">
        <f t="shared" si="169"/>
        <v>0</v>
      </c>
      <c r="AF192" s="35">
        <f t="shared" si="170"/>
        <v>0</v>
      </c>
      <c r="AG192" s="35">
        <f t="shared" si="171"/>
        <v>0</v>
      </c>
      <c r="AH192" s="35">
        <f t="shared" si="172"/>
        <v>0</v>
      </c>
      <c r="AI192" s="77" t="s">
        <v>61</v>
      </c>
      <c r="AJ192" s="65">
        <f t="shared" si="173"/>
        <v>0</v>
      </c>
      <c r="AK192" s="65">
        <f t="shared" si="174"/>
        <v>0</v>
      </c>
      <c r="AL192" s="65">
        <f t="shared" si="175"/>
        <v>28044</v>
      </c>
      <c r="AN192" s="35">
        <v>21</v>
      </c>
      <c r="AO192" s="35">
        <f>I192*1</f>
        <v>7011</v>
      </c>
      <c r="AP192" s="35">
        <f>I192*(1-1)</f>
        <v>0</v>
      </c>
      <c r="AQ192" s="79" t="s">
        <v>235</v>
      </c>
      <c r="AV192" s="35">
        <f t="shared" si="176"/>
        <v>28044</v>
      </c>
      <c r="AW192" s="35">
        <f t="shared" si="177"/>
        <v>28044</v>
      </c>
      <c r="AX192" s="35">
        <f t="shared" si="178"/>
        <v>0</v>
      </c>
      <c r="AY192" s="80" t="s">
        <v>1675</v>
      </c>
      <c r="AZ192" s="80" t="s">
        <v>1734</v>
      </c>
      <c r="BA192" s="77" t="s">
        <v>1774</v>
      </c>
      <c r="BC192" s="35">
        <f t="shared" si="179"/>
        <v>28044</v>
      </c>
      <c r="BD192" s="35">
        <f t="shared" si="180"/>
        <v>7011</v>
      </c>
      <c r="BE192" s="35">
        <v>0</v>
      </c>
      <c r="BF192" s="35">
        <f>192</f>
        <v>192</v>
      </c>
      <c r="BH192" s="65">
        <f t="shared" si="181"/>
        <v>28044</v>
      </c>
      <c r="BI192" s="65">
        <f t="shared" si="182"/>
        <v>0</v>
      </c>
      <c r="BJ192" s="65">
        <f t="shared" si="183"/>
        <v>28044</v>
      </c>
      <c r="BK192" s="65" t="s">
        <v>1642</v>
      </c>
      <c r="BL192" s="35">
        <v>767</v>
      </c>
    </row>
    <row r="193" spans="1:64">
      <c r="A193" s="48" t="s">
        <v>325</v>
      </c>
      <c r="B193" s="56" t="s">
        <v>61</v>
      </c>
      <c r="C193" s="56" t="s">
        <v>843</v>
      </c>
      <c r="D193" s="170" t="s">
        <v>1249</v>
      </c>
      <c r="E193" s="171"/>
      <c r="F193" s="171"/>
      <c r="G193" s="56" t="s">
        <v>1636</v>
      </c>
      <c r="H193" s="65">
        <v>4</v>
      </c>
      <c r="I193" s="65">
        <v>637</v>
      </c>
      <c r="J193" s="65">
        <f t="shared" si="162"/>
        <v>2548</v>
      </c>
      <c r="K193" s="65">
        <f t="shared" si="163"/>
        <v>0</v>
      </c>
      <c r="L193" s="65">
        <f t="shared" si="164"/>
        <v>2548</v>
      </c>
      <c r="M193" s="74" t="s">
        <v>1658</v>
      </c>
      <c r="N193" s="19"/>
      <c r="Z193" s="35">
        <f t="shared" si="165"/>
        <v>0</v>
      </c>
      <c r="AB193" s="35">
        <f t="shared" si="166"/>
        <v>0</v>
      </c>
      <c r="AC193" s="35">
        <f t="shared" si="167"/>
        <v>0</v>
      </c>
      <c r="AD193" s="35">
        <f t="shared" si="168"/>
        <v>2548</v>
      </c>
      <c r="AE193" s="35">
        <f t="shared" si="169"/>
        <v>0</v>
      </c>
      <c r="AF193" s="35">
        <f t="shared" si="170"/>
        <v>0</v>
      </c>
      <c r="AG193" s="35">
        <f t="shared" si="171"/>
        <v>0</v>
      </c>
      <c r="AH193" s="35">
        <f t="shared" si="172"/>
        <v>0</v>
      </c>
      <c r="AI193" s="77" t="s">
        <v>61</v>
      </c>
      <c r="AJ193" s="65">
        <f t="shared" si="173"/>
        <v>0</v>
      </c>
      <c r="AK193" s="65">
        <f t="shared" si="174"/>
        <v>0</v>
      </c>
      <c r="AL193" s="65">
        <f t="shared" si="175"/>
        <v>2548</v>
      </c>
      <c r="AN193" s="35">
        <v>21</v>
      </c>
      <c r="AO193" s="35">
        <f>I193*1</f>
        <v>637</v>
      </c>
      <c r="AP193" s="35">
        <f>I193*(1-1)</f>
        <v>0</v>
      </c>
      <c r="AQ193" s="79" t="s">
        <v>235</v>
      </c>
      <c r="AV193" s="35">
        <f t="shared" si="176"/>
        <v>2548</v>
      </c>
      <c r="AW193" s="35">
        <f t="shared" si="177"/>
        <v>2548</v>
      </c>
      <c r="AX193" s="35">
        <f t="shared" si="178"/>
        <v>0</v>
      </c>
      <c r="AY193" s="80" t="s">
        <v>1675</v>
      </c>
      <c r="AZ193" s="80" t="s">
        <v>1734</v>
      </c>
      <c r="BA193" s="77" t="s">
        <v>1774</v>
      </c>
      <c r="BC193" s="35">
        <f t="shared" si="179"/>
        <v>2548</v>
      </c>
      <c r="BD193" s="35">
        <f t="shared" si="180"/>
        <v>637</v>
      </c>
      <c r="BE193" s="35">
        <v>0</v>
      </c>
      <c r="BF193" s="35">
        <f>193</f>
        <v>193</v>
      </c>
      <c r="BH193" s="65">
        <f t="shared" si="181"/>
        <v>2548</v>
      </c>
      <c r="BI193" s="65">
        <f t="shared" si="182"/>
        <v>0</v>
      </c>
      <c r="BJ193" s="65">
        <f t="shared" si="183"/>
        <v>2548</v>
      </c>
      <c r="BK193" s="65" t="s">
        <v>1642</v>
      </c>
      <c r="BL193" s="35">
        <v>767</v>
      </c>
    </row>
    <row r="194" spans="1:64">
      <c r="A194" s="48" t="s">
        <v>326</v>
      </c>
      <c r="B194" s="56" t="s">
        <v>61</v>
      </c>
      <c r="C194" s="56" t="s">
        <v>844</v>
      </c>
      <c r="D194" s="170" t="s">
        <v>1250</v>
      </c>
      <c r="E194" s="171"/>
      <c r="F194" s="171"/>
      <c r="G194" s="56" t="s">
        <v>1636</v>
      </c>
      <c r="H194" s="65">
        <v>4</v>
      </c>
      <c r="I194" s="65">
        <v>482</v>
      </c>
      <c r="J194" s="65">
        <f t="shared" si="162"/>
        <v>1928</v>
      </c>
      <c r="K194" s="65">
        <f t="shared" si="163"/>
        <v>0</v>
      </c>
      <c r="L194" s="65">
        <f t="shared" si="164"/>
        <v>1928</v>
      </c>
      <c r="M194" s="74" t="s">
        <v>1658</v>
      </c>
      <c r="N194" s="19"/>
      <c r="Z194" s="35">
        <f t="shared" si="165"/>
        <v>0</v>
      </c>
      <c r="AB194" s="35">
        <f t="shared" si="166"/>
        <v>0</v>
      </c>
      <c r="AC194" s="35">
        <f t="shared" si="167"/>
        <v>0</v>
      </c>
      <c r="AD194" s="35">
        <f t="shared" si="168"/>
        <v>1928</v>
      </c>
      <c r="AE194" s="35">
        <f t="shared" si="169"/>
        <v>0</v>
      </c>
      <c r="AF194" s="35">
        <f t="shared" si="170"/>
        <v>0</v>
      </c>
      <c r="AG194" s="35">
        <f t="shared" si="171"/>
        <v>0</v>
      </c>
      <c r="AH194" s="35">
        <f t="shared" si="172"/>
        <v>0</v>
      </c>
      <c r="AI194" s="77" t="s">
        <v>61</v>
      </c>
      <c r="AJ194" s="65">
        <f t="shared" si="173"/>
        <v>0</v>
      </c>
      <c r="AK194" s="65">
        <f t="shared" si="174"/>
        <v>0</v>
      </c>
      <c r="AL194" s="65">
        <f t="shared" si="175"/>
        <v>1928</v>
      </c>
      <c r="AN194" s="35">
        <v>21</v>
      </c>
      <c r="AO194" s="35">
        <f>I194*1</f>
        <v>482</v>
      </c>
      <c r="AP194" s="35">
        <f>I194*(1-1)</f>
        <v>0</v>
      </c>
      <c r="AQ194" s="79" t="s">
        <v>235</v>
      </c>
      <c r="AV194" s="35">
        <f t="shared" si="176"/>
        <v>1928</v>
      </c>
      <c r="AW194" s="35">
        <f t="shared" si="177"/>
        <v>1928</v>
      </c>
      <c r="AX194" s="35">
        <f t="shared" si="178"/>
        <v>0</v>
      </c>
      <c r="AY194" s="80" t="s">
        <v>1675</v>
      </c>
      <c r="AZ194" s="80" t="s">
        <v>1734</v>
      </c>
      <c r="BA194" s="77" t="s">
        <v>1774</v>
      </c>
      <c r="BC194" s="35">
        <f t="shared" si="179"/>
        <v>1928</v>
      </c>
      <c r="BD194" s="35">
        <f t="shared" si="180"/>
        <v>482</v>
      </c>
      <c r="BE194" s="35">
        <v>0</v>
      </c>
      <c r="BF194" s="35">
        <f>194</f>
        <v>194</v>
      </c>
      <c r="BH194" s="65">
        <f t="shared" si="181"/>
        <v>1928</v>
      </c>
      <c r="BI194" s="65">
        <f t="shared" si="182"/>
        <v>0</v>
      </c>
      <c r="BJ194" s="65">
        <f t="shared" si="183"/>
        <v>1928</v>
      </c>
      <c r="BK194" s="65" t="s">
        <v>1642</v>
      </c>
      <c r="BL194" s="35">
        <v>767</v>
      </c>
    </row>
    <row r="195" spans="1:64">
      <c r="A195" s="48" t="s">
        <v>327</v>
      </c>
      <c r="B195" s="56" t="s">
        <v>61</v>
      </c>
      <c r="C195" s="56" t="s">
        <v>845</v>
      </c>
      <c r="D195" s="170" t="s">
        <v>1251</v>
      </c>
      <c r="E195" s="171"/>
      <c r="F195" s="171"/>
      <c r="G195" s="56" t="s">
        <v>1636</v>
      </c>
      <c r="H195" s="65">
        <v>4</v>
      </c>
      <c r="I195" s="65">
        <v>609</v>
      </c>
      <c r="J195" s="65">
        <f t="shared" si="162"/>
        <v>2436</v>
      </c>
      <c r="K195" s="65">
        <f t="shared" si="163"/>
        <v>0</v>
      </c>
      <c r="L195" s="65">
        <f t="shared" si="164"/>
        <v>2436</v>
      </c>
      <c r="M195" s="74" t="s">
        <v>1658</v>
      </c>
      <c r="N195" s="19"/>
      <c r="Z195" s="35">
        <f t="shared" si="165"/>
        <v>0</v>
      </c>
      <c r="AB195" s="35">
        <f t="shared" si="166"/>
        <v>0</v>
      </c>
      <c r="AC195" s="35">
        <f t="shared" si="167"/>
        <v>0</v>
      </c>
      <c r="AD195" s="35">
        <f t="shared" si="168"/>
        <v>2436</v>
      </c>
      <c r="AE195" s="35">
        <f t="shared" si="169"/>
        <v>0</v>
      </c>
      <c r="AF195" s="35">
        <f t="shared" si="170"/>
        <v>0</v>
      </c>
      <c r="AG195" s="35">
        <f t="shared" si="171"/>
        <v>0</v>
      </c>
      <c r="AH195" s="35">
        <f t="shared" si="172"/>
        <v>0</v>
      </c>
      <c r="AI195" s="77" t="s">
        <v>61</v>
      </c>
      <c r="AJ195" s="65">
        <f t="shared" si="173"/>
        <v>0</v>
      </c>
      <c r="AK195" s="65">
        <f t="shared" si="174"/>
        <v>0</v>
      </c>
      <c r="AL195" s="65">
        <f t="shared" si="175"/>
        <v>2436</v>
      </c>
      <c r="AN195" s="35">
        <v>21</v>
      </c>
      <c r="AO195" s="35">
        <f>I195*1</f>
        <v>609</v>
      </c>
      <c r="AP195" s="35">
        <f>I195*(1-1)</f>
        <v>0</v>
      </c>
      <c r="AQ195" s="79" t="s">
        <v>235</v>
      </c>
      <c r="AV195" s="35">
        <f t="shared" si="176"/>
        <v>2436</v>
      </c>
      <c r="AW195" s="35">
        <f t="shared" si="177"/>
        <v>2436</v>
      </c>
      <c r="AX195" s="35">
        <f t="shared" si="178"/>
        <v>0</v>
      </c>
      <c r="AY195" s="80" t="s">
        <v>1675</v>
      </c>
      <c r="AZ195" s="80" t="s">
        <v>1734</v>
      </c>
      <c r="BA195" s="77" t="s">
        <v>1774</v>
      </c>
      <c r="BC195" s="35">
        <f t="shared" si="179"/>
        <v>2436</v>
      </c>
      <c r="BD195" s="35">
        <f t="shared" si="180"/>
        <v>609</v>
      </c>
      <c r="BE195" s="35">
        <v>0</v>
      </c>
      <c r="BF195" s="35">
        <f>195</f>
        <v>195</v>
      </c>
      <c r="BH195" s="65">
        <f t="shared" si="181"/>
        <v>2436</v>
      </c>
      <c r="BI195" s="65">
        <f t="shared" si="182"/>
        <v>0</v>
      </c>
      <c r="BJ195" s="65">
        <f t="shared" si="183"/>
        <v>2436</v>
      </c>
      <c r="BK195" s="65" t="s">
        <v>1642</v>
      </c>
      <c r="BL195" s="35">
        <v>767</v>
      </c>
    </row>
    <row r="196" spans="1:64">
      <c r="A196" s="47" t="s">
        <v>328</v>
      </c>
      <c r="B196" s="55" t="s">
        <v>61</v>
      </c>
      <c r="C196" s="55" t="s">
        <v>771</v>
      </c>
      <c r="D196" s="165" t="s">
        <v>1173</v>
      </c>
      <c r="E196" s="166"/>
      <c r="F196" s="166"/>
      <c r="G196" s="55" t="s">
        <v>1634</v>
      </c>
      <c r="H196" s="64">
        <v>0.86124000000000001</v>
      </c>
      <c r="I196" s="64">
        <v>946</v>
      </c>
      <c r="J196" s="64">
        <f t="shared" si="162"/>
        <v>0</v>
      </c>
      <c r="K196" s="64">
        <f t="shared" si="163"/>
        <v>814.73303999999996</v>
      </c>
      <c r="L196" s="64">
        <f t="shared" si="164"/>
        <v>814.73303999999996</v>
      </c>
      <c r="M196" s="73" t="s">
        <v>1657</v>
      </c>
      <c r="N196" s="19"/>
      <c r="Z196" s="35">
        <f t="shared" si="165"/>
        <v>814.73303999999996</v>
      </c>
      <c r="AB196" s="35">
        <f t="shared" si="166"/>
        <v>0</v>
      </c>
      <c r="AC196" s="35">
        <f t="shared" si="167"/>
        <v>0</v>
      </c>
      <c r="AD196" s="35">
        <f t="shared" si="168"/>
        <v>0</v>
      </c>
      <c r="AE196" s="35">
        <f t="shared" si="169"/>
        <v>0</v>
      </c>
      <c r="AF196" s="35">
        <f t="shared" si="170"/>
        <v>0</v>
      </c>
      <c r="AG196" s="35">
        <f t="shared" si="171"/>
        <v>0</v>
      </c>
      <c r="AH196" s="35">
        <f t="shared" si="172"/>
        <v>0</v>
      </c>
      <c r="AI196" s="77" t="s">
        <v>61</v>
      </c>
      <c r="AJ196" s="64">
        <f t="shared" si="173"/>
        <v>0</v>
      </c>
      <c r="AK196" s="64">
        <f t="shared" si="174"/>
        <v>0</v>
      </c>
      <c r="AL196" s="64">
        <f t="shared" si="175"/>
        <v>814.73303999999996</v>
      </c>
      <c r="AN196" s="35">
        <v>21</v>
      </c>
      <c r="AO196" s="35">
        <f>I196*0</f>
        <v>0</v>
      </c>
      <c r="AP196" s="35">
        <f>I196*(1-0)</f>
        <v>946</v>
      </c>
      <c r="AQ196" s="78" t="s">
        <v>112</v>
      </c>
      <c r="AV196" s="35">
        <f t="shared" si="176"/>
        <v>814.73303999999996</v>
      </c>
      <c r="AW196" s="35">
        <f t="shared" si="177"/>
        <v>0</v>
      </c>
      <c r="AX196" s="35">
        <f t="shared" si="178"/>
        <v>814.73303999999996</v>
      </c>
      <c r="AY196" s="80" t="s">
        <v>1675</v>
      </c>
      <c r="AZ196" s="80" t="s">
        <v>1734</v>
      </c>
      <c r="BA196" s="77" t="s">
        <v>1774</v>
      </c>
      <c r="BC196" s="35">
        <f t="shared" si="179"/>
        <v>814.73303999999996</v>
      </c>
      <c r="BD196" s="35">
        <f t="shared" si="180"/>
        <v>946.00000000000011</v>
      </c>
      <c r="BE196" s="35">
        <v>0</v>
      </c>
      <c r="BF196" s="35">
        <f>196</f>
        <v>196</v>
      </c>
      <c r="BH196" s="64">
        <f t="shared" si="181"/>
        <v>0</v>
      </c>
      <c r="BI196" s="64">
        <f t="shared" si="182"/>
        <v>814.73303999999996</v>
      </c>
      <c r="BJ196" s="64">
        <f t="shared" si="183"/>
        <v>814.73303999999996</v>
      </c>
      <c r="BK196" s="64" t="s">
        <v>1790</v>
      </c>
      <c r="BL196" s="35">
        <v>767</v>
      </c>
    </row>
    <row r="197" spans="1:64">
      <c r="A197" s="46"/>
      <c r="B197" s="54" t="s">
        <v>61</v>
      </c>
      <c r="C197" s="54" t="s">
        <v>141</v>
      </c>
      <c r="D197" s="163" t="s">
        <v>192</v>
      </c>
      <c r="E197" s="164"/>
      <c r="F197" s="164"/>
      <c r="G197" s="61" t="s">
        <v>57</v>
      </c>
      <c r="H197" s="61" t="s">
        <v>57</v>
      </c>
      <c r="I197" s="61" t="s">
        <v>57</v>
      </c>
      <c r="J197" s="83">
        <f>SUM(J198:J198)</f>
        <v>0</v>
      </c>
      <c r="K197" s="83">
        <f>SUM(K198:K198)</f>
        <v>85390.574999999997</v>
      </c>
      <c r="L197" s="83">
        <f>SUM(L198:L198)</f>
        <v>85390.574999999997</v>
      </c>
      <c r="M197" s="72"/>
      <c r="N197" s="19"/>
      <c r="AI197" s="77" t="s">
        <v>61</v>
      </c>
      <c r="AS197" s="83">
        <f>SUM(AJ198:AJ198)</f>
        <v>0</v>
      </c>
      <c r="AT197" s="83">
        <f>SUM(AK198:AK198)</f>
        <v>0</v>
      </c>
      <c r="AU197" s="83">
        <f>SUM(AL198:AL198)</f>
        <v>85390.574999999997</v>
      </c>
    </row>
    <row r="198" spans="1:64">
      <c r="A198" s="47" t="s">
        <v>329</v>
      </c>
      <c r="B198" s="55" t="s">
        <v>61</v>
      </c>
      <c r="C198" s="55" t="s">
        <v>846</v>
      </c>
      <c r="D198" s="165" t="s">
        <v>1252</v>
      </c>
      <c r="E198" s="166"/>
      <c r="F198" s="166"/>
      <c r="G198" s="55" t="s">
        <v>1632</v>
      </c>
      <c r="H198" s="64">
        <v>1004.595</v>
      </c>
      <c r="I198" s="64">
        <v>85</v>
      </c>
      <c r="J198" s="64">
        <f>H198*AO198</f>
        <v>0</v>
      </c>
      <c r="K198" s="64">
        <f>H198*AP198</f>
        <v>85390.574999999997</v>
      </c>
      <c r="L198" s="64">
        <f>H198*I198</f>
        <v>85390.574999999997</v>
      </c>
      <c r="M198" s="73" t="s">
        <v>1657</v>
      </c>
      <c r="N198" s="19"/>
      <c r="Z198" s="35">
        <f>IF(AQ198="5",BJ198,0)</f>
        <v>0</v>
      </c>
      <c r="AB198" s="35">
        <f>IF(AQ198="1",BH198,0)</f>
        <v>0</v>
      </c>
      <c r="AC198" s="35">
        <f>IF(AQ198="1",BI198,0)</f>
        <v>85390.574999999997</v>
      </c>
      <c r="AD198" s="35">
        <f>IF(AQ198="7",BH198,0)</f>
        <v>0</v>
      </c>
      <c r="AE198" s="35">
        <f>IF(AQ198="7",BI198,0)</f>
        <v>0</v>
      </c>
      <c r="AF198" s="35">
        <f>IF(AQ198="2",BH198,0)</f>
        <v>0</v>
      </c>
      <c r="AG198" s="35">
        <f>IF(AQ198="2",BI198,0)</f>
        <v>0</v>
      </c>
      <c r="AH198" s="35">
        <f>IF(AQ198="0",BJ198,0)</f>
        <v>0</v>
      </c>
      <c r="AI198" s="77" t="s">
        <v>61</v>
      </c>
      <c r="AJ198" s="64">
        <f>IF(AN198=0,L198,0)</f>
        <v>0</v>
      </c>
      <c r="AK198" s="64">
        <f>IF(AN198=15,L198,0)</f>
        <v>0</v>
      </c>
      <c r="AL198" s="64">
        <f>IF(AN198=21,L198,0)</f>
        <v>85390.574999999997</v>
      </c>
      <c r="AN198" s="35">
        <v>21</v>
      </c>
      <c r="AO198" s="35">
        <f>I198*0</f>
        <v>0</v>
      </c>
      <c r="AP198" s="35">
        <f>I198*(1-0)</f>
        <v>85</v>
      </c>
      <c r="AQ198" s="78" t="s">
        <v>109</v>
      </c>
      <c r="AV198" s="35">
        <f>AW198+AX198</f>
        <v>85390.574999999997</v>
      </c>
      <c r="AW198" s="35">
        <f>H198*AO198</f>
        <v>0</v>
      </c>
      <c r="AX198" s="35">
        <f>H198*AP198</f>
        <v>85390.574999999997</v>
      </c>
      <c r="AY198" s="80" t="s">
        <v>1680</v>
      </c>
      <c r="AZ198" s="80" t="s">
        <v>1735</v>
      </c>
      <c r="BA198" s="77" t="s">
        <v>1774</v>
      </c>
      <c r="BC198" s="35">
        <f>AW198+AX198</f>
        <v>85390.574999999997</v>
      </c>
      <c r="BD198" s="35">
        <f>I198/(100-BE198)*100</f>
        <v>85</v>
      </c>
      <c r="BE198" s="35">
        <v>0</v>
      </c>
      <c r="BF198" s="35">
        <f>198</f>
        <v>198</v>
      </c>
      <c r="BH198" s="64">
        <f>H198*AO198</f>
        <v>0</v>
      </c>
      <c r="BI198" s="64">
        <f>H198*AP198</f>
        <v>85390.574999999997</v>
      </c>
      <c r="BJ198" s="64">
        <f>H198*I198</f>
        <v>85390.574999999997</v>
      </c>
      <c r="BK198" s="64" t="s">
        <v>1790</v>
      </c>
      <c r="BL198" s="35">
        <v>95</v>
      </c>
    </row>
    <row r="199" spans="1:64">
      <c r="A199" s="46"/>
      <c r="B199" s="54" t="s">
        <v>61</v>
      </c>
      <c r="C199" s="54" t="s">
        <v>142</v>
      </c>
      <c r="D199" s="163" t="s">
        <v>193</v>
      </c>
      <c r="E199" s="164"/>
      <c r="F199" s="164"/>
      <c r="G199" s="61" t="s">
        <v>57</v>
      </c>
      <c r="H199" s="61" t="s">
        <v>57</v>
      </c>
      <c r="I199" s="61" t="s">
        <v>57</v>
      </c>
      <c r="J199" s="83">
        <f>SUM(J200:J212)</f>
        <v>0</v>
      </c>
      <c r="K199" s="83">
        <f>SUM(K200:K212)</f>
        <v>30109.477199999998</v>
      </c>
      <c r="L199" s="83">
        <f>SUM(L200:L212)</f>
        <v>30109.477199999998</v>
      </c>
      <c r="M199" s="72"/>
      <c r="N199" s="19"/>
      <c r="AI199" s="77" t="s">
        <v>61</v>
      </c>
      <c r="AS199" s="83">
        <f>SUM(AJ200:AJ212)</f>
        <v>0</v>
      </c>
      <c r="AT199" s="83">
        <f>SUM(AK200:AK212)</f>
        <v>0</v>
      </c>
      <c r="AU199" s="83">
        <f>SUM(AL200:AL212)</f>
        <v>30109.477199999998</v>
      </c>
    </row>
    <row r="200" spans="1:64">
      <c r="A200" s="47" t="s">
        <v>330</v>
      </c>
      <c r="B200" s="55" t="s">
        <v>61</v>
      </c>
      <c r="C200" s="55" t="s">
        <v>847</v>
      </c>
      <c r="D200" s="165" t="s">
        <v>1253</v>
      </c>
      <c r="E200" s="166"/>
      <c r="F200" s="166"/>
      <c r="G200" s="55" t="s">
        <v>1638</v>
      </c>
      <c r="H200" s="64">
        <v>3.2399999999999998E-2</v>
      </c>
      <c r="I200" s="64">
        <v>3053</v>
      </c>
      <c r="J200" s="64">
        <f>H200*AO200</f>
        <v>0</v>
      </c>
      <c r="K200" s="64">
        <f>H200*AP200</f>
        <v>98.917199999999994</v>
      </c>
      <c r="L200" s="64">
        <f>H200*I200</f>
        <v>98.917199999999994</v>
      </c>
      <c r="M200" s="73" t="s">
        <v>1657</v>
      </c>
      <c r="N200" s="19"/>
      <c r="Z200" s="35">
        <f>IF(AQ200="5",BJ200,0)</f>
        <v>0</v>
      </c>
      <c r="AB200" s="35">
        <f>IF(AQ200="1",BH200,0)</f>
        <v>0</v>
      </c>
      <c r="AC200" s="35">
        <f>IF(AQ200="1",BI200,0)</f>
        <v>98.917199999999994</v>
      </c>
      <c r="AD200" s="35">
        <f>IF(AQ200="7",BH200,0)</f>
        <v>0</v>
      </c>
      <c r="AE200" s="35">
        <f>IF(AQ200="7",BI200,0)</f>
        <v>0</v>
      </c>
      <c r="AF200" s="35">
        <f>IF(AQ200="2",BH200,0)</f>
        <v>0</v>
      </c>
      <c r="AG200" s="35">
        <f>IF(AQ200="2",BI200,0)</f>
        <v>0</v>
      </c>
      <c r="AH200" s="35">
        <f>IF(AQ200="0",BJ200,0)</f>
        <v>0</v>
      </c>
      <c r="AI200" s="77" t="s">
        <v>61</v>
      </c>
      <c r="AJ200" s="64">
        <f>IF(AN200=0,L200,0)</f>
        <v>0</v>
      </c>
      <c r="AK200" s="64">
        <f>IF(AN200=15,L200,0)</f>
        <v>0</v>
      </c>
      <c r="AL200" s="64">
        <f>IF(AN200=21,L200,0)</f>
        <v>98.917199999999994</v>
      </c>
      <c r="AN200" s="35">
        <v>21</v>
      </c>
      <c r="AO200" s="35">
        <f>I200*0</f>
        <v>0</v>
      </c>
      <c r="AP200" s="35">
        <f>I200*(1-0)</f>
        <v>3053</v>
      </c>
      <c r="AQ200" s="78" t="s">
        <v>109</v>
      </c>
      <c r="AV200" s="35">
        <f>AW200+AX200</f>
        <v>98.917199999999994</v>
      </c>
      <c r="AW200" s="35">
        <f>H200*AO200</f>
        <v>0</v>
      </c>
      <c r="AX200" s="35">
        <f>H200*AP200</f>
        <v>98.917199999999994</v>
      </c>
      <c r="AY200" s="80" t="s">
        <v>1681</v>
      </c>
      <c r="AZ200" s="80" t="s">
        <v>1735</v>
      </c>
      <c r="BA200" s="77" t="s">
        <v>1774</v>
      </c>
      <c r="BC200" s="35">
        <f>AW200+AX200</f>
        <v>98.917199999999994</v>
      </c>
      <c r="BD200" s="35">
        <f>I200/(100-BE200)*100</f>
        <v>3053</v>
      </c>
      <c r="BE200" s="35">
        <v>0</v>
      </c>
      <c r="BF200" s="35">
        <f>200</f>
        <v>200</v>
      </c>
      <c r="BH200" s="64">
        <f>H200*AO200</f>
        <v>0</v>
      </c>
      <c r="BI200" s="64">
        <f>H200*AP200</f>
        <v>98.917199999999994</v>
      </c>
      <c r="BJ200" s="64">
        <f>H200*I200</f>
        <v>98.917199999999994</v>
      </c>
      <c r="BK200" s="64" t="s">
        <v>1790</v>
      </c>
      <c r="BL200" s="35">
        <v>96</v>
      </c>
    </row>
    <row r="201" spans="1:64">
      <c r="A201" s="19"/>
      <c r="C201" s="59" t="s">
        <v>730</v>
      </c>
      <c r="D201" s="167" t="s">
        <v>1254</v>
      </c>
      <c r="E201" s="168"/>
      <c r="F201" s="168"/>
      <c r="G201" s="168"/>
      <c r="H201" s="168"/>
      <c r="I201" s="168"/>
      <c r="J201" s="168"/>
      <c r="K201" s="168"/>
      <c r="L201" s="168"/>
      <c r="M201" s="169"/>
      <c r="N201" s="19"/>
    </row>
    <row r="202" spans="1:64">
      <c r="A202" s="47" t="s">
        <v>331</v>
      </c>
      <c r="B202" s="55" t="s">
        <v>61</v>
      </c>
      <c r="C202" s="55" t="s">
        <v>848</v>
      </c>
      <c r="D202" s="165" t="s">
        <v>1255</v>
      </c>
      <c r="E202" s="166"/>
      <c r="F202" s="166"/>
      <c r="G202" s="55" t="s">
        <v>1631</v>
      </c>
      <c r="H202" s="64">
        <v>114</v>
      </c>
      <c r="I202" s="64">
        <v>7</v>
      </c>
      <c r="J202" s="64">
        <f t="shared" ref="J202:J212" si="184">H202*AO202</f>
        <v>0</v>
      </c>
      <c r="K202" s="64">
        <f t="shared" ref="K202:K212" si="185">H202*AP202</f>
        <v>798</v>
      </c>
      <c r="L202" s="64">
        <f t="shared" ref="L202:L212" si="186">H202*I202</f>
        <v>798</v>
      </c>
      <c r="M202" s="73" t="s">
        <v>1657</v>
      </c>
      <c r="N202" s="19"/>
      <c r="Z202" s="35">
        <f t="shared" ref="Z202:Z212" si="187">IF(AQ202="5",BJ202,0)</f>
        <v>0</v>
      </c>
      <c r="AB202" s="35">
        <f t="shared" ref="AB202:AB212" si="188">IF(AQ202="1",BH202,0)</f>
        <v>0</v>
      </c>
      <c r="AC202" s="35">
        <f t="shared" ref="AC202:AC212" si="189">IF(AQ202="1",BI202,0)</f>
        <v>798</v>
      </c>
      <c r="AD202" s="35">
        <f t="shared" ref="AD202:AD212" si="190">IF(AQ202="7",BH202,0)</f>
        <v>0</v>
      </c>
      <c r="AE202" s="35">
        <f t="shared" ref="AE202:AE212" si="191">IF(AQ202="7",BI202,0)</f>
        <v>0</v>
      </c>
      <c r="AF202" s="35">
        <f t="shared" ref="AF202:AF212" si="192">IF(AQ202="2",BH202,0)</f>
        <v>0</v>
      </c>
      <c r="AG202" s="35">
        <f t="shared" ref="AG202:AG212" si="193">IF(AQ202="2",BI202,0)</f>
        <v>0</v>
      </c>
      <c r="AH202" s="35">
        <f t="shared" ref="AH202:AH212" si="194">IF(AQ202="0",BJ202,0)</f>
        <v>0</v>
      </c>
      <c r="AI202" s="77" t="s">
        <v>61</v>
      </c>
      <c r="AJ202" s="64">
        <f t="shared" ref="AJ202:AJ212" si="195">IF(AN202=0,L202,0)</f>
        <v>0</v>
      </c>
      <c r="AK202" s="64">
        <f t="shared" ref="AK202:AK212" si="196">IF(AN202=15,L202,0)</f>
        <v>0</v>
      </c>
      <c r="AL202" s="64">
        <f t="shared" ref="AL202:AL212" si="197">IF(AN202=21,L202,0)</f>
        <v>798</v>
      </c>
      <c r="AN202" s="35">
        <v>21</v>
      </c>
      <c r="AO202" s="35">
        <f t="shared" ref="AO202:AO212" si="198">I202*0</f>
        <v>0</v>
      </c>
      <c r="AP202" s="35">
        <f t="shared" ref="AP202:AP212" si="199">I202*(1-0)</f>
        <v>7</v>
      </c>
      <c r="AQ202" s="78" t="s">
        <v>109</v>
      </c>
      <c r="AV202" s="35">
        <f t="shared" ref="AV202:AV212" si="200">AW202+AX202</f>
        <v>798</v>
      </c>
      <c r="AW202" s="35">
        <f t="shared" ref="AW202:AW212" si="201">H202*AO202</f>
        <v>0</v>
      </c>
      <c r="AX202" s="35">
        <f t="shared" ref="AX202:AX212" si="202">H202*AP202</f>
        <v>798</v>
      </c>
      <c r="AY202" s="80" t="s">
        <v>1681</v>
      </c>
      <c r="AZ202" s="80" t="s">
        <v>1735</v>
      </c>
      <c r="BA202" s="77" t="s">
        <v>1774</v>
      </c>
      <c r="BC202" s="35">
        <f t="shared" ref="BC202:BC212" si="203">AW202+AX202</f>
        <v>798</v>
      </c>
      <c r="BD202" s="35">
        <f t="shared" ref="BD202:BD212" si="204">I202/(100-BE202)*100</f>
        <v>7.0000000000000009</v>
      </c>
      <c r="BE202" s="35">
        <v>0</v>
      </c>
      <c r="BF202" s="35">
        <f>202</f>
        <v>202</v>
      </c>
      <c r="BH202" s="64">
        <f t="shared" ref="BH202:BH212" si="205">H202*AO202</f>
        <v>0</v>
      </c>
      <c r="BI202" s="64">
        <f t="shared" ref="BI202:BI212" si="206">H202*AP202</f>
        <v>798</v>
      </c>
      <c r="BJ202" s="64">
        <f t="shared" ref="BJ202:BJ212" si="207">H202*I202</f>
        <v>798</v>
      </c>
      <c r="BK202" s="64" t="s">
        <v>1790</v>
      </c>
      <c r="BL202" s="35">
        <v>96</v>
      </c>
    </row>
    <row r="203" spans="1:64">
      <c r="A203" s="47" t="s">
        <v>332</v>
      </c>
      <c r="B203" s="55" t="s">
        <v>61</v>
      </c>
      <c r="C203" s="55" t="s">
        <v>849</v>
      </c>
      <c r="D203" s="165" t="s">
        <v>1256</v>
      </c>
      <c r="E203" s="166"/>
      <c r="F203" s="166"/>
      <c r="G203" s="55" t="s">
        <v>1631</v>
      </c>
      <c r="H203" s="64">
        <v>24</v>
      </c>
      <c r="I203" s="64">
        <v>15</v>
      </c>
      <c r="J203" s="64">
        <f t="shared" si="184"/>
        <v>0</v>
      </c>
      <c r="K203" s="64">
        <f t="shared" si="185"/>
        <v>360</v>
      </c>
      <c r="L203" s="64">
        <f t="shared" si="186"/>
        <v>360</v>
      </c>
      <c r="M203" s="73" t="s">
        <v>1657</v>
      </c>
      <c r="N203" s="19"/>
      <c r="Z203" s="35">
        <f t="shared" si="187"/>
        <v>0</v>
      </c>
      <c r="AB203" s="35">
        <f t="shared" si="188"/>
        <v>0</v>
      </c>
      <c r="AC203" s="35">
        <f t="shared" si="189"/>
        <v>360</v>
      </c>
      <c r="AD203" s="35">
        <f t="shared" si="190"/>
        <v>0</v>
      </c>
      <c r="AE203" s="35">
        <f t="shared" si="191"/>
        <v>0</v>
      </c>
      <c r="AF203" s="35">
        <f t="shared" si="192"/>
        <v>0</v>
      </c>
      <c r="AG203" s="35">
        <f t="shared" si="193"/>
        <v>0</v>
      </c>
      <c r="AH203" s="35">
        <f t="shared" si="194"/>
        <v>0</v>
      </c>
      <c r="AI203" s="77" t="s">
        <v>61</v>
      </c>
      <c r="AJ203" s="64">
        <f t="shared" si="195"/>
        <v>0</v>
      </c>
      <c r="AK203" s="64">
        <f t="shared" si="196"/>
        <v>0</v>
      </c>
      <c r="AL203" s="64">
        <f t="shared" si="197"/>
        <v>360</v>
      </c>
      <c r="AN203" s="35">
        <v>21</v>
      </c>
      <c r="AO203" s="35">
        <f t="shared" si="198"/>
        <v>0</v>
      </c>
      <c r="AP203" s="35">
        <f t="shared" si="199"/>
        <v>15</v>
      </c>
      <c r="AQ203" s="78" t="s">
        <v>109</v>
      </c>
      <c r="AV203" s="35">
        <f t="shared" si="200"/>
        <v>360</v>
      </c>
      <c r="AW203" s="35">
        <f t="shared" si="201"/>
        <v>0</v>
      </c>
      <c r="AX203" s="35">
        <f t="shared" si="202"/>
        <v>360</v>
      </c>
      <c r="AY203" s="80" t="s">
        <v>1681</v>
      </c>
      <c r="AZ203" s="80" t="s">
        <v>1735</v>
      </c>
      <c r="BA203" s="77" t="s">
        <v>1774</v>
      </c>
      <c r="BC203" s="35">
        <f t="shared" si="203"/>
        <v>360</v>
      </c>
      <c r="BD203" s="35">
        <f t="shared" si="204"/>
        <v>15</v>
      </c>
      <c r="BE203" s="35">
        <v>0</v>
      </c>
      <c r="BF203" s="35">
        <f>203</f>
        <v>203</v>
      </c>
      <c r="BH203" s="64">
        <f t="shared" si="205"/>
        <v>0</v>
      </c>
      <c r="BI203" s="64">
        <f t="shared" si="206"/>
        <v>360</v>
      </c>
      <c r="BJ203" s="64">
        <f t="shared" si="207"/>
        <v>360</v>
      </c>
      <c r="BK203" s="64" t="s">
        <v>1790</v>
      </c>
      <c r="BL203" s="35">
        <v>96</v>
      </c>
    </row>
    <row r="204" spans="1:64">
      <c r="A204" s="47" t="s">
        <v>333</v>
      </c>
      <c r="B204" s="55" t="s">
        <v>61</v>
      </c>
      <c r="C204" s="55" t="s">
        <v>850</v>
      </c>
      <c r="D204" s="165" t="s">
        <v>1257</v>
      </c>
      <c r="E204" s="166"/>
      <c r="F204" s="166"/>
      <c r="G204" s="55" t="s">
        <v>1631</v>
      </c>
      <c r="H204" s="64">
        <v>16</v>
      </c>
      <c r="I204" s="64">
        <v>12</v>
      </c>
      <c r="J204" s="64">
        <f t="shared" si="184"/>
        <v>0</v>
      </c>
      <c r="K204" s="64">
        <f t="shared" si="185"/>
        <v>192</v>
      </c>
      <c r="L204" s="64">
        <f t="shared" si="186"/>
        <v>192</v>
      </c>
      <c r="M204" s="73" t="s">
        <v>1657</v>
      </c>
      <c r="N204" s="19"/>
      <c r="Z204" s="35">
        <f t="shared" si="187"/>
        <v>0</v>
      </c>
      <c r="AB204" s="35">
        <f t="shared" si="188"/>
        <v>0</v>
      </c>
      <c r="AC204" s="35">
        <f t="shared" si="189"/>
        <v>192</v>
      </c>
      <c r="AD204" s="35">
        <f t="shared" si="190"/>
        <v>0</v>
      </c>
      <c r="AE204" s="35">
        <f t="shared" si="191"/>
        <v>0</v>
      </c>
      <c r="AF204" s="35">
        <f t="shared" si="192"/>
        <v>0</v>
      </c>
      <c r="AG204" s="35">
        <f t="shared" si="193"/>
        <v>0</v>
      </c>
      <c r="AH204" s="35">
        <f t="shared" si="194"/>
        <v>0</v>
      </c>
      <c r="AI204" s="77" t="s">
        <v>61</v>
      </c>
      <c r="AJ204" s="64">
        <f t="shared" si="195"/>
        <v>0</v>
      </c>
      <c r="AK204" s="64">
        <f t="shared" si="196"/>
        <v>0</v>
      </c>
      <c r="AL204" s="64">
        <f t="shared" si="197"/>
        <v>192</v>
      </c>
      <c r="AN204" s="35">
        <v>21</v>
      </c>
      <c r="AO204" s="35">
        <f t="shared" si="198"/>
        <v>0</v>
      </c>
      <c r="AP204" s="35">
        <f t="shared" si="199"/>
        <v>12</v>
      </c>
      <c r="AQ204" s="78" t="s">
        <v>109</v>
      </c>
      <c r="AV204" s="35">
        <f t="shared" si="200"/>
        <v>192</v>
      </c>
      <c r="AW204" s="35">
        <f t="shared" si="201"/>
        <v>0</v>
      </c>
      <c r="AX204" s="35">
        <f t="shared" si="202"/>
        <v>192</v>
      </c>
      <c r="AY204" s="80" t="s">
        <v>1681</v>
      </c>
      <c r="AZ204" s="80" t="s">
        <v>1735</v>
      </c>
      <c r="BA204" s="77" t="s">
        <v>1774</v>
      </c>
      <c r="BC204" s="35">
        <f t="shared" si="203"/>
        <v>192</v>
      </c>
      <c r="BD204" s="35">
        <f t="shared" si="204"/>
        <v>12</v>
      </c>
      <c r="BE204" s="35">
        <v>0</v>
      </c>
      <c r="BF204" s="35">
        <f>204</f>
        <v>204</v>
      </c>
      <c r="BH204" s="64">
        <f t="shared" si="205"/>
        <v>0</v>
      </c>
      <c r="BI204" s="64">
        <f t="shared" si="206"/>
        <v>192</v>
      </c>
      <c r="BJ204" s="64">
        <f t="shared" si="207"/>
        <v>192</v>
      </c>
      <c r="BK204" s="64" t="s">
        <v>1790</v>
      </c>
      <c r="BL204" s="35">
        <v>96</v>
      </c>
    </row>
    <row r="205" spans="1:64">
      <c r="A205" s="47" t="s">
        <v>334</v>
      </c>
      <c r="B205" s="55" t="s">
        <v>61</v>
      </c>
      <c r="C205" s="55" t="s">
        <v>851</v>
      </c>
      <c r="D205" s="165" t="s">
        <v>1258</v>
      </c>
      <c r="E205" s="166"/>
      <c r="F205" s="166"/>
      <c r="G205" s="55" t="s">
        <v>1632</v>
      </c>
      <c r="H205" s="64">
        <v>33.479999999999997</v>
      </c>
      <c r="I205" s="64">
        <v>181</v>
      </c>
      <c r="J205" s="64">
        <f t="shared" si="184"/>
        <v>0</v>
      </c>
      <c r="K205" s="64">
        <f t="shared" si="185"/>
        <v>6059.8799999999992</v>
      </c>
      <c r="L205" s="64">
        <f t="shared" si="186"/>
        <v>6059.8799999999992</v>
      </c>
      <c r="M205" s="73" t="s">
        <v>1657</v>
      </c>
      <c r="N205" s="19"/>
      <c r="Z205" s="35">
        <f t="shared" si="187"/>
        <v>0</v>
      </c>
      <c r="AB205" s="35">
        <f t="shared" si="188"/>
        <v>0</v>
      </c>
      <c r="AC205" s="35">
        <f t="shared" si="189"/>
        <v>6059.8799999999992</v>
      </c>
      <c r="AD205" s="35">
        <f t="shared" si="190"/>
        <v>0</v>
      </c>
      <c r="AE205" s="35">
        <f t="shared" si="191"/>
        <v>0</v>
      </c>
      <c r="AF205" s="35">
        <f t="shared" si="192"/>
        <v>0</v>
      </c>
      <c r="AG205" s="35">
        <f t="shared" si="193"/>
        <v>0</v>
      </c>
      <c r="AH205" s="35">
        <f t="shared" si="194"/>
        <v>0</v>
      </c>
      <c r="AI205" s="77" t="s">
        <v>61</v>
      </c>
      <c r="AJ205" s="64">
        <f t="shared" si="195"/>
        <v>0</v>
      </c>
      <c r="AK205" s="64">
        <f t="shared" si="196"/>
        <v>0</v>
      </c>
      <c r="AL205" s="64">
        <f t="shared" si="197"/>
        <v>6059.8799999999992</v>
      </c>
      <c r="AN205" s="35">
        <v>21</v>
      </c>
      <c r="AO205" s="35">
        <f t="shared" si="198"/>
        <v>0</v>
      </c>
      <c r="AP205" s="35">
        <f t="shared" si="199"/>
        <v>181</v>
      </c>
      <c r="AQ205" s="78" t="s">
        <v>109</v>
      </c>
      <c r="AV205" s="35">
        <f t="shared" si="200"/>
        <v>6059.8799999999992</v>
      </c>
      <c r="AW205" s="35">
        <f t="shared" si="201"/>
        <v>0</v>
      </c>
      <c r="AX205" s="35">
        <f t="shared" si="202"/>
        <v>6059.8799999999992</v>
      </c>
      <c r="AY205" s="80" t="s">
        <v>1681</v>
      </c>
      <c r="AZ205" s="80" t="s">
        <v>1735</v>
      </c>
      <c r="BA205" s="77" t="s">
        <v>1774</v>
      </c>
      <c r="BC205" s="35">
        <f t="shared" si="203"/>
        <v>6059.8799999999992</v>
      </c>
      <c r="BD205" s="35">
        <f t="shared" si="204"/>
        <v>181</v>
      </c>
      <c r="BE205" s="35">
        <v>0</v>
      </c>
      <c r="BF205" s="35">
        <f>205</f>
        <v>205</v>
      </c>
      <c r="BH205" s="64">
        <f t="shared" si="205"/>
        <v>0</v>
      </c>
      <c r="BI205" s="64">
        <f t="shared" si="206"/>
        <v>6059.8799999999992</v>
      </c>
      <c r="BJ205" s="64">
        <f t="shared" si="207"/>
        <v>6059.8799999999992</v>
      </c>
      <c r="BK205" s="64" t="s">
        <v>1790</v>
      </c>
      <c r="BL205" s="35">
        <v>96</v>
      </c>
    </row>
    <row r="206" spans="1:64">
      <c r="A206" s="47" t="s">
        <v>335</v>
      </c>
      <c r="B206" s="55" t="s">
        <v>61</v>
      </c>
      <c r="C206" s="55" t="s">
        <v>852</v>
      </c>
      <c r="D206" s="165" t="s">
        <v>1259</v>
      </c>
      <c r="E206" s="166"/>
      <c r="F206" s="166"/>
      <c r="G206" s="55" t="s">
        <v>1632</v>
      </c>
      <c r="H206" s="64">
        <v>2.7</v>
      </c>
      <c r="I206" s="64">
        <v>108</v>
      </c>
      <c r="J206" s="64">
        <f t="shared" si="184"/>
        <v>0</v>
      </c>
      <c r="K206" s="64">
        <f t="shared" si="185"/>
        <v>291.60000000000002</v>
      </c>
      <c r="L206" s="64">
        <f t="shared" si="186"/>
        <v>291.60000000000002</v>
      </c>
      <c r="M206" s="73" t="s">
        <v>1657</v>
      </c>
      <c r="N206" s="19"/>
      <c r="Z206" s="35">
        <f t="shared" si="187"/>
        <v>0</v>
      </c>
      <c r="AB206" s="35">
        <f t="shared" si="188"/>
        <v>0</v>
      </c>
      <c r="AC206" s="35">
        <f t="shared" si="189"/>
        <v>291.60000000000002</v>
      </c>
      <c r="AD206" s="35">
        <f t="shared" si="190"/>
        <v>0</v>
      </c>
      <c r="AE206" s="35">
        <f t="shared" si="191"/>
        <v>0</v>
      </c>
      <c r="AF206" s="35">
        <f t="shared" si="192"/>
        <v>0</v>
      </c>
      <c r="AG206" s="35">
        <f t="shared" si="193"/>
        <v>0</v>
      </c>
      <c r="AH206" s="35">
        <f t="shared" si="194"/>
        <v>0</v>
      </c>
      <c r="AI206" s="77" t="s">
        <v>61</v>
      </c>
      <c r="AJ206" s="64">
        <f t="shared" si="195"/>
        <v>0</v>
      </c>
      <c r="AK206" s="64">
        <f t="shared" si="196"/>
        <v>0</v>
      </c>
      <c r="AL206" s="64">
        <f t="shared" si="197"/>
        <v>291.60000000000002</v>
      </c>
      <c r="AN206" s="35">
        <v>21</v>
      </c>
      <c r="AO206" s="35">
        <f t="shared" si="198"/>
        <v>0</v>
      </c>
      <c r="AP206" s="35">
        <f t="shared" si="199"/>
        <v>108</v>
      </c>
      <c r="AQ206" s="78" t="s">
        <v>109</v>
      </c>
      <c r="AV206" s="35">
        <f t="shared" si="200"/>
        <v>291.60000000000002</v>
      </c>
      <c r="AW206" s="35">
        <f t="shared" si="201"/>
        <v>0</v>
      </c>
      <c r="AX206" s="35">
        <f t="shared" si="202"/>
        <v>291.60000000000002</v>
      </c>
      <c r="AY206" s="80" t="s">
        <v>1681</v>
      </c>
      <c r="AZ206" s="80" t="s">
        <v>1735</v>
      </c>
      <c r="BA206" s="77" t="s">
        <v>1774</v>
      </c>
      <c r="BC206" s="35">
        <f t="shared" si="203"/>
        <v>291.60000000000002</v>
      </c>
      <c r="BD206" s="35">
        <f t="shared" si="204"/>
        <v>108</v>
      </c>
      <c r="BE206" s="35">
        <v>0</v>
      </c>
      <c r="BF206" s="35">
        <f>206</f>
        <v>206</v>
      </c>
      <c r="BH206" s="64">
        <f t="shared" si="205"/>
        <v>0</v>
      </c>
      <c r="BI206" s="64">
        <f t="shared" si="206"/>
        <v>291.60000000000002</v>
      </c>
      <c r="BJ206" s="64">
        <f t="shared" si="207"/>
        <v>291.60000000000002</v>
      </c>
      <c r="BK206" s="64" t="s">
        <v>1790</v>
      </c>
      <c r="BL206" s="35">
        <v>96</v>
      </c>
    </row>
    <row r="207" spans="1:64">
      <c r="A207" s="47" t="s">
        <v>336</v>
      </c>
      <c r="B207" s="55" t="s">
        <v>61</v>
      </c>
      <c r="C207" s="55" t="s">
        <v>853</v>
      </c>
      <c r="D207" s="165" t="s">
        <v>1260</v>
      </c>
      <c r="E207" s="166"/>
      <c r="F207" s="166"/>
      <c r="G207" s="55" t="s">
        <v>1632</v>
      </c>
      <c r="H207" s="64">
        <v>112.68</v>
      </c>
      <c r="I207" s="64">
        <v>88</v>
      </c>
      <c r="J207" s="64">
        <f t="shared" si="184"/>
        <v>0</v>
      </c>
      <c r="K207" s="64">
        <f t="shared" si="185"/>
        <v>9915.84</v>
      </c>
      <c r="L207" s="64">
        <f t="shared" si="186"/>
        <v>9915.84</v>
      </c>
      <c r="M207" s="73" t="s">
        <v>1657</v>
      </c>
      <c r="N207" s="19"/>
      <c r="Z207" s="35">
        <f t="shared" si="187"/>
        <v>0</v>
      </c>
      <c r="AB207" s="35">
        <f t="shared" si="188"/>
        <v>0</v>
      </c>
      <c r="AC207" s="35">
        <f t="shared" si="189"/>
        <v>9915.84</v>
      </c>
      <c r="AD207" s="35">
        <f t="shared" si="190"/>
        <v>0</v>
      </c>
      <c r="AE207" s="35">
        <f t="shared" si="191"/>
        <v>0</v>
      </c>
      <c r="AF207" s="35">
        <f t="shared" si="192"/>
        <v>0</v>
      </c>
      <c r="AG207" s="35">
        <f t="shared" si="193"/>
        <v>0</v>
      </c>
      <c r="AH207" s="35">
        <f t="shared" si="194"/>
        <v>0</v>
      </c>
      <c r="AI207" s="77" t="s">
        <v>61</v>
      </c>
      <c r="AJ207" s="64">
        <f t="shared" si="195"/>
        <v>0</v>
      </c>
      <c r="AK207" s="64">
        <f t="shared" si="196"/>
        <v>0</v>
      </c>
      <c r="AL207" s="64">
        <f t="shared" si="197"/>
        <v>9915.84</v>
      </c>
      <c r="AN207" s="35">
        <v>21</v>
      </c>
      <c r="AO207" s="35">
        <f t="shared" si="198"/>
        <v>0</v>
      </c>
      <c r="AP207" s="35">
        <f t="shared" si="199"/>
        <v>88</v>
      </c>
      <c r="AQ207" s="78" t="s">
        <v>109</v>
      </c>
      <c r="AV207" s="35">
        <f t="shared" si="200"/>
        <v>9915.84</v>
      </c>
      <c r="AW207" s="35">
        <f t="shared" si="201"/>
        <v>0</v>
      </c>
      <c r="AX207" s="35">
        <f t="shared" si="202"/>
        <v>9915.84</v>
      </c>
      <c r="AY207" s="80" t="s">
        <v>1681</v>
      </c>
      <c r="AZ207" s="80" t="s">
        <v>1735</v>
      </c>
      <c r="BA207" s="77" t="s">
        <v>1774</v>
      </c>
      <c r="BC207" s="35">
        <f t="shared" si="203"/>
        <v>9915.84</v>
      </c>
      <c r="BD207" s="35">
        <f t="shared" si="204"/>
        <v>88</v>
      </c>
      <c r="BE207" s="35">
        <v>0</v>
      </c>
      <c r="BF207" s="35">
        <f>207</f>
        <v>207</v>
      </c>
      <c r="BH207" s="64">
        <f t="shared" si="205"/>
        <v>0</v>
      </c>
      <c r="BI207" s="64">
        <f t="shared" si="206"/>
        <v>9915.84</v>
      </c>
      <c r="BJ207" s="64">
        <f t="shared" si="207"/>
        <v>9915.84</v>
      </c>
      <c r="BK207" s="64" t="s">
        <v>1790</v>
      </c>
      <c r="BL207" s="35">
        <v>96</v>
      </c>
    </row>
    <row r="208" spans="1:64">
      <c r="A208" s="47" t="s">
        <v>337</v>
      </c>
      <c r="B208" s="55" t="s">
        <v>61</v>
      </c>
      <c r="C208" s="55" t="s">
        <v>854</v>
      </c>
      <c r="D208" s="165" t="s">
        <v>1261</v>
      </c>
      <c r="E208" s="166"/>
      <c r="F208" s="166"/>
      <c r="G208" s="55" t="s">
        <v>1632</v>
      </c>
      <c r="H208" s="64">
        <v>35.4</v>
      </c>
      <c r="I208" s="64">
        <v>162</v>
      </c>
      <c r="J208" s="64">
        <f t="shared" si="184"/>
        <v>0</v>
      </c>
      <c r="K208" s="64">
        <f t="shared" si="185"/>
        <v>5734.8</v>
      </c>
      <c r="L208" s="64">
        <f t="shared" si="186"/>
        <v>5734.8</v>
      </c>
      <c r="M208" s="73" t="s">
        <v>1657</v>
      </c>
      <c r="N208" s="19"/>
      <c r="Z208" s="35">
        <f t="shared" si="187"/>
        <v>0</v>
      </c>
      <c r="AB208" s="35">
        <f t="shared" si="188"/>
        <v>0</v>
      </c>
      <c r="AC208" s="35">
        <f t="shared" si="189"/>
        <v>5734.8</v>
      </c>
      <c r="AD208" s="35">
        <f t="shared" si="190"/>
        <v>0</v>
      </c>
      <c r="AE208" s="35">
        <f t="shared" si="191"/>
        <v>0</v>
      </c>
      <c r="AF208" s="35">
        <f t="shared" si="192"/>
        <v>0</v>
      </c>
      <c r="AG208" s="35">
        <f t="shared" si="193"/>
        <v>0</v>
      </c>
      <c r="AH208" s="35">
        <f t="shared" si="194"/>
        <v>0</v>
      </c>
      <c r="AI208" s="77" t="s">
        <v>61</v>
      </c>
      <c r="AJ208" s="64">
        <f t="shared" si="195"/>
        <v>0</v>
      </c>
      <c r="AK208" s="64">
        <f t="shared" si="196"/>
        <v>0</v>
      </c>
      <c r="AL208" s="64">
        <f t="shared" si="197"/>
        <v>5734.8</v>
      </c>
      <c r="AN208" s="35">
        <v>21</v>
      </c>
      <c r="AO208" s="35">
        <f t="shared" si="198"/>
        <v>0</v>
      </c>
      <c r="AP208" s="35">
        <f t="shared" si="199"/>
        <v>162</v>
      </c>
      <c r="AQ208" s="78" t="s">
        <v>109</v>
      </c>
      <c r="AV208" s="35">
        <f t="shared" si="200"/>
        <v>5734.8</v>
      </c>
      <c r="AW208" s="35">
        <f t="shared" si="201"/>
        <v>0</v>
      </c>
      <c r="AX208" s="35">
        <f t="shared" si="202"/>
        <v>5734.8</v>
      </c>
      <c r="AY208" s="80" t="s">
        <v>1681</v>
      </c>
      <c r="AZ208" s="80" t="s">
        <v>1735</v>
      </c>
      <c r="BA208" s="77" t="s">
        <v>1774</v>
      </c>
      <c r="BC208" s="35">
        <f t="shared" si="203"/>
        <v>5734.8</v>
      </c>
      <c r="BD208" s="35">
        <f t="shared" si="204"/>
        <v>162</v>
      </c>
      <c r="BE208" s="35">
        <v>0</v>
      </c>
      <c r="BF208" s="35">
        <f>208</f>
        <v>208</v>
      </c>
      <c r="BH208" s="64">
        <f t="shared" si="205"/>
        <v>0</v>
      </c>
      <c r="BI208" s="64">
        <f t="shared" si="206"/>
        <v>5734.8</v>
      </c>
      <c r="BJ208" s="64">
        <f t="shared" si="207"/>
        <v>5734.8</v>
      </c>
      <c r="BK208" s="64" t="s">
        <v>1790</v>
      </c>
      <c r="BL208" s="35">
        <v>96</v>
      </c>
    </row>
    <row r="209" spans="1:64">
      <c r="A209" s="47" t="s">
        <v>338</v>
      </c>
      <c r="B209" s="55" t="s">
        <v>61</v>
      </c>
      <c r="C209" s="55" t="s">
        <v>855</v>
      </c>
      <c r="D209" s="165" t="s">
        <v>1262</v>
      </c>
      <c r="E209" s="166"/>
      <c r="F209" s="166"/>
      <c r="G209" s="55" t="s">
        <v>1631</v>
      </c>
      <c r="H209" s="64">
        <v>8</v>
      </c>
      <c r="I209" s="64">
        <v>21</v>
      </c>
      <c r="J209" s="64">
        <f t="shared" si="184"/>
        <v>0</v>
      </c>
      <c r="K209" s="64">
        <f t="shared" si="185"/>
        <v>168</v>
      </c>
      <c r="L209" s="64">
        <f t="shared" si="186"/>
        <v>168</v>
      </c>
      <c r="M209" s="73" t="s">
        <v>1657</v>
      </c>
      <c r="N209" s="19"/>
      <c r="Z209" s="35">
        <f t="shared" si="187"/>
        <v>0</v>
      </c>
      <c r="AB209" s="35">
        <f t="shared" si="188"/>
        <v>0</v>
      </c>
      <c r="AC209" s="35">
        <f t="shared" si="189"/>
        <v>168</v>
      </c>
      <c r="AD209" s="35">
        <f t="shared" si="190"/>
        <v>0</v>
      </c>
      <c r="AE209" s="35">
        <f t="shared" si="191"/>
        <v>0</v>
      </c>
      <c r="AF209" s="35">
        <f t="shared" si="192"/>
        <v>0</v>
      </c>
      <c r="AG209" s="35">
        <f t="shared" si="193"/>
        <v>0</v>
      </c>
      <c r="AH209" s="35">
        <f t="shared" si="194"/>
        <v>0</v>
      </c>
      <c r="AI209" s="77" t="s">
        <v>61</v>
      </c>
      <c r="AJ209" s="64">
        <f t="shared" si="195"/>
        <v>0</v>
      </c>
      <c r="AK209" s="64">
        <f t="shared" si="196"/>
        <v>0</v>
      </c>
      <c r="AL209" s="64">
        <f t="shared" si="197"/>
        <v>168</v>
      </c>
      <c r="AN209" s="35">
        <v>21</v>
      </c>
      <c r="AO209" s="35">
        <f t="shared" si="198"/>
        <v>0</v>
      </c>
      <c r="AP209" s="35">
        <f t="shared" si="199"/>
        <v>21</v>
      </c>
      <c r="AQ209" s="78" t="s">
        <v>109</v>
      </c>
      <c r="AV209" s="35">
        <f t="shared" si="200"/>
        <v>168</v>
      </c>
      <c r="AW209" s="35">
        <f t="shared" si="201"/>
        <v>0</v>
      </c>
      <c r="AX209" s="35">
        <f t="shared" si="202"/>
        <v>168</v>
      </c>
      <c r="AY209" s="80" t="s">
        <v>1681</v>
      </c>
      <c r="AZ209" s="80" t="s">
        <v>1735</v>
      </c>
      <c r="BA209" s="77" t="s">
        <v>1774</v>
      </c>
      <c r="BC209" s="35">
        <f t="shared" si="203"/>
        <v>168</v>
      </c>
      <c r="BD209" s="35">
        <f t="shared" si="204"/>
        <v>21</v>
      </c>
      <c r="BE209" s="35">
        <v>0</v>
      </c>
      <c r="BF209" s="35">
        <f>209</f>
        <v>209</v>
      </c>
      <c r="BH209" s="64">
        <f t="shared" si="205"/>
        <v>0</v>
      </c>
      <c r="BI209" s="64">
        <f t="shared" si="206"/>
        <v>168</v>
      </c>
      <c r="BJ209" s="64">
        <f t="shared" si="207"/>
        <v>168</v>
      </c>
      <c r="BK209" s="64" t="s">
        <v>1790</v>
      </c>
      <c r="BL209" s="35">
        <v>96</v>
      </c>
    </row>
    <row r="210" spans="1:64">
      <c r="A210" s="47" t="s">
        <v>339</v>
      </c>
      <c r="B210" s="55" t="s">
        <v>61</v>
      </c>
      <c r="C210" s="55" t="s">
        <v>856</v>
      </c>
      <c r="D210" s="165" t="s">
        <v>1263</v>
      </c>
      <c r="E210" s="166"/>
      <c r="F210" s="166"/>
      <c r="G210" s="55" t="s">
        <v>1632</v>
      </c>
      <c r="H210" s="64">
        <v>21.24</v>
      </c>
      <c r="I210" s="64">
        <v>211</v>
      </c>
      <c r="J210" s="64">
        <f t="shared" si="184"/>
        <v>0</v>
      </c>
      <c r="K210" s="64">
        <f t="shared" si="185"/>
        <v>4481.6399999999994</v>
      </c>
      <c r="L210" s="64">
        <f t="shared" si="186"/>
        <v>4481.6399999999994</v>
      </c>
      <c r="M210" s="73" t="s">
        <v>1657</v>
      </c>
      <c r="N210" s="19"/>
      <c r="Z210" s="35">
        <f t="shared" si="187"/>
        <v>0</v>
      </c>
      <c r="AB210" s="35">
        <f t="shared" si="188"/>
        <v>0</v>
      </c>
      <c r="AC210" s="35">
        <f t="shared" si="189"/>
        <v>4481.6399999999994</v>
      </c>
      <c r="AD210" s="35">
        <f t="shared" si="190"/>
        <v>0</v>
      </c>
      <c r="AE210" s="35">
        <f t="shared" si="191"/>
        <v>0</v>
      </c>
      <c r="AF210" s="35">
        <f t="shared" si="192"/>
        <v>0</v>
      </c>
      <c r="AG210" s="35">
        <f t="shared" si="193"/>
        <v>0</v>
      </c>
      <c r="AH210" s="35">
        <f t="shared" si="194"/>
        <v>0</v>
      </c>
      <c r="AI210" s="77" t="s">
        <v>61</v>
      </c>
      <c r="AJ210" s="64">
        <f t="shared" si="195"/>
        <v>0</v>
      </c>
      <c r="AK210" s="64">
        <f t="shared" si="196"/>
        <v>0</v>
      </c>
      <c r="AL210" s="64">
        <f t="shared" si="197"/>
        <v>4481.6399999999994</v>
      </c>
      <c r="AN210" s="35">
        <v>21</v>
      </c>
      <c r="AO210" s="35">
        <f t="shared" si="198"/>
        <v>0</v>
      </c>
      <c r="AP210" s="35">
        <f t="shared" si="199"/>
        <v>211</v>
      </c>
      <c r="AQ210" s="78" t="s">
        <v>109</v>
      </c>
      <c r="AV210" s="35">
        <f t="shared" si="200"/>
        <v>4481.6399999999994</v>
      </c>
      <c r="AW210" s="35">
        <f t="shared" si="201"/>
        <v>0</v>
      </c>
      <c r="AX210" s="35">
        <f t="shared" si="202"/>
        <v>4481.6399999999994</v>
      </c>
      <c r="AY210" s="80" t="s">
        <v>1681</v>
      </c>
      <c r="AZ210" s="80" t="s">
        <v>1735</v>
      </c>
      <c r="BA210" s="77" t="s">
        <v>1774</v>
      </c>
      <c r="BC210" s="35">
        <f t="shared" si="203"/>
        <v>4481.6399999999994</v>
      </c>
      <c r="BD210" s="35">
        <f t="shared" si="204"/>
        <v>211</v>
      </c>
      <c r="BE210" s="35">
        <v>0</v>
      </c>
      <c r="BF210" s="35">
        <f>210</f>
        <v>210</v>
      </c>
      <c r="BH210" s="64">
        <f t="shared" si="205"/>
        <v>0</v>
      </c>
      <c r="BI210" s="64">
        <f t="shared" si="206"/>
        <v>4481.6399999999994</v>
      </c>
      <c r="BJ210" s="64">
        <f t="shared" si="207"/>
        <v>4481.6399999999994</v>
      </c>
      <c r="BK210" s="64" t="s">
        <v>1790</v>
      </c>
      <c r="BL210" s="35">
        <v>96</v>
      </c>
    </row>
    <row r="211" spans="1:64">
      <c r="A211" s="47" t="s">
        <v>340</v>
      </c>
      <c r="B211" s="55" t="s">
        <v>61</v>
      </c>
      <c r="C211" s="55" t="s">
        <v>857</v>
      </c>
      <c r="D211" s="165" t="s">
        <v>1264</v>
      </c>
      <c r="E211" s="166"/>
      <c r="F211" s="166"/>
      <c r="G211" s="55" t="s">
        <v>1633</v>
      </c>
      <c r="H211" s="64">
        <v>36</v>
      </c>
      <c r="I211" s="64">
        <v>25</v>
      </c>
      <c r="J211" s="64">
        <f t="shared" si="184"/>
        <v>0</v>
      </c>
      <c r="K211" s="64">
        <f t="shared" si="185"/>
        <v>900</v>
      </c>
      <c r="L211" s="64">
        <f t="shared" si="186"/>
        <v>900</v>
      </c>
      <c r="M211" s="73" t="s">
        <v>1657</v>
      </c>
      <c r="N211" s="19"/>
      <c r="Z211" s="35">
        <f t="shared" si="187"/>
        <v>0</v>
      </c>
      <c r="AB211" s="35">
        <f t="shared" si="188"/>
        <v>0</v>
      </c>
      <c r="AC211" s="35">
        <f t="shared" si="189"/>
        <v>900</v>
      </c>
      <c r="AD211" s="35">
        <f t="shared" si="190"/>
        <v>0</v>
      </c>
      <c r="AE211" s="35">
        <f t="shared" si="191"/>
        <v>0</v>
      </c>
      <c r="AF211" s="35">
        <f t="shared" si="192"/>
        <v>0</v>
      </c>
      <c r="AG211" s="35">
        <f t="shared" si="193"/>
        <v>0</v>
      </c>
      <c r="AH211" s="35">
        <f t="shared" si="194"/>
        <v>0</v>
      </c>
      <c r="AI211" s="77" t="s">
        <v>61</v>
      </c>
      <c r="AJ211" s="64">
        <f t="shared" si="195"/>
        <v>0</v>
      </c>
      <c r="AK211" s="64">
        <f t="shared" si="196"/>
        <v>0</v>
      </c>
      <c r="AL211" s="64">
        <f t="shared" si="197"/>
        <v>900</v>
      </c>
      <c r="AN211" s="35">
        <v>21</v>
      </c>
      <c r="AO211" s="35">
        <f t="shared" si="198"/>
        <v>0</v>
      </c>
      <c r="AP211" s="35">
        <f t="shared" si="199"/>
        <v>25</v>
      </c>
      <c r="AQ211" s="78" t="s">
        <v>109</v>
      </c>
      <c r="AV211" s="35">
        <f t="shared" si="200"/>
        <v>900</v>
      </c>
      <c r="AW211" s="35">
        <f t="shared" si="201"/>
        <v>0</v>
      </c>
      <c r="AX211" s="35">
        <f t="shared" si="202"/>
        <v>900</v>
      </c>
      <c r="AY211" s="80" t="s">
        <v>1681</v>
      </c>
      <c r="AZ211" s="80" t="s">
        <v>1735</v>
      </c>
      <c r="BA211" s="77" t="s">
        <v>1774</v>
      </c>
      <c r="BC211" s="35">
        <f t="shared" si="203"/>
        <v>900</v>
      </c>
      <c r="BD211" s="35">
        <f t="shared" si="204"/>
        <v>25</v>
      </c>
      <c r="BE211" s="35">
        <v>0</v>
      </c>
      <c r="BF211" s="35">
        <f>211</f>
        <v>211</v>
      </c>
      <c r="BH211" s="64">
        <f t="shared" si="205"/>
        <v>0</v>
      </c>
      <c r="BI211" s="64">
        <f t="shared" si="206"/>
        <v>900</v>
      </c>
      <c r="BJ211" s="64">
        <f t="shared" si="207"/>
        <v>900</v>
      </c>
      <c r="BK211" s="64" t="s">
        <v>1790</v>
      </c>
      <c r="BL211" s="35">
        <v>96</v>
      </c>
    </row>
    <row r="212" spans="1:64">
      <c r="A212" s="47" t="s">
        <v>341</v>
      </c>
      <c r="B212" s="55" t="s">
        <v>61</v>
      </c>
      <c r="C212" s="55" t="s">
        <v>858</v>
      </c>
      <c r="D212" s="165" t="s">
        <v>1265</v>
      </c>
      <c r="E212" s="166"/>
      <c r="F212" s="166"/>
      <c r="G212" s="55" t="s">
        <v>1633</v>
      </c>
      <c r="H212" s="64">
        <v>33.6</v>
      </c>
      <c r="I212" s="64">
        <v>33</v>
      </c>
      <c r="J212" s="64">
        <f t="shared" si="184"/>
        <v>0</v>
      </c>
      <c r="K212" s="64">
        <f t="shared" si="185"/>
        <v>1108.8</v>
      </c>
      <c r="L212" s="64">
        <f t="shared" si="186"/>
        <v>1108.8</v>
      </c>
      <c r="M212" s="73" t="s">
        <v>1657</v>
      </c>
      <c r="N212" s="19"/>
      <c r="Z212" s="35">
        <f t="shared" si="187"/>
        <v>0</v>
      </c>
      <c r="AB212" s="35">
        <f t="shared" si="188"/>
        <v>0</v>
      </c>
      <c r="AC212" s="35">
        <f t="shared" si="189"/>
        <v>1108.8</v>
      </c>
      <c r="AD212" s="35">
        <f t="shared" si="190"/>
        <v>0</v>
      </c>
      <c r="AE212" s="35">
        <f t="shared" si="191"/>
        <v>0</v>
      </c>
      <c r="AF212" s="35">
        <f t="shared" si="192"/>
        <v>0</v>
      </c>
      <c r="AG212" s="35">
        <f t="shared" si="193"/>
        <v>0</v>
      </c>
      <c r="AH212" s="35">
        <f t="shared" si="194"/>
        <v>0</v>
      </c>
      <c r="AI212" s="77" t="s">
        <v>61</v>
      </c>
      <c r="AJ212" s="64">
        <f t="shared" si="195"/>
        <v>0</v>
      </c>
      <c r="AK212" s="64">
        <f t="shared" si="196"/>
        <v>0</v>
      </c>
      <c r="AL212" s="64">
        <f t="shared" si="197"/>
        <v>1108.8</v>
      </c>
      <c r="AN212" s="35">
        <v>21</v>
      </c>
      <c r="AO212" s="35">
        <f t="shared" si="198"/>
        <v>0</v>
      </c>
      <c r="AP212" s="35">
        <f t="shared" si="199"/>
        <v>33</v>
      </c>
      <c r="AQ212" s="78" t="s">
        <v>109</v>
      </c>
      <c r="AV212" s="35">
        <f t="shared" si="200"/>
        <v>1108.8</v>
      </c>
      <c r="AW212" s="35">
        <f t="shared" si="201"/>
        <v>0</v>
      </c>
      <c r="AX212" s="35">
        <f t="shared" si="202"/>
        <v>1108.8</v>
      </c>
      <c r="AY212" s="80" t="s">
        <v>1681</v>
      </c>
      <c r="AZ212" s="80" t="s">
        <v>1735</v>
      </c>
      <c r="BA212" s="77" t="s">
        <v>1774</v>
      </c>
      <c r="BC212" s="35">
        <f t="shared" si="203"/>
        <v>1108.8</v>
      </c>
      <c r="BD212" s="35">
        <f t="shared" si="204"/>
        <v>33</v>
      </c>
      <c r="BE212" s="35">
        <v>0</v>
      </c>
      <c r="BF212" s="35">
        <f>212</f>
        <v>212</v>
      </c>
      <c r="BH212" s="64">
        <f t="shared" si="205"/>
        <v>0</v>
      </c>
      <c r="BI212" s="64">
        <f t="shared" si="206"/>
        <v>1108.8</v>
      </c>
      <c r="BJ212" s="64">
        <f t="shared" si="207"/>
        <v>1108.8</v>
      </c>
      <c r="BK212" s="64" t="s">
        <v>1790</v>
      </c>
      <c r="BL212" s="35">
        <v>96</v>
      </c>
    </row>
    <row r="213" spans="1:64">
      <c r="A213" s="46"/>
      <c r="B213" s="54" t="s">
        <v>61</v>
      </c>
      <c r="C213" s="54" t="s">
        <v>145</v>
      </c>
      <c r="D213" s="163" t="s">
        <v>196</v>
      </c>
      <c r="E213" s="164"/>
      <c r="F213" s="164"/>
      <c r="G213" s="61" t="s">
        <v>57</v>
      </c>
      <c r="H213" s="61" t="s">
        <v>57</v>
      </c>
      <c r="I213" s="61" t="s">
        <v>57</v>
      </c>
      <c r="J213" s="83">
        <f>SUM(J214:J220)</f>
        <v>0</v>
      </c>
      <c r="K213" s="83">
        <f>SUM(K214:K220)</f>
        <v>15987.453659999999</v>
      </c>
      <c r="L213" s="83">
        <f>SUM(L214:L220)</f>
        <v>15987.453659999999</v>
      </c>
      <c r="M213" s="72"/>
      <c r="N213" s="19"/>
      <c r="AI213" s="77" t="s">
        <v>61</v>
      </c>
      <c r="AS213" s="83">
        <f>SUM(AJ214:AJ220)</f>
        <v>0</v>
      </c>
      <c r="AT213" s="83">
        <f>SUM(AK214:AK220)</f>
        <v>0</v>
      </c>
      <c r="AU213" s="83">
        <f>SUM(AL214:AL220)</f>
        <v>15987.453659999999</v>
      </c>
    </row>
    <row r="214" spans="1:64">
      <c r="A214" s="47" t="s">
        <v>342</v>
      </c>
      <c r="B214" s="55" t="s">
        <v>61</v>
      </c>
      <c r="C214" s="55" t="s">
        <v>800</v>
      </c>
      <c r="D214" s="165" t="s">
        <v>1204</v>
      </c>
      <c r="E214" s="166"/>
      <c r="F214" s="166"/>
      <c r="G214" s="55" t="s">
        <v>1634</v>
      </c>
      <c r="H214" s="64">
        <v>9.4232999999999993</v>
      </c>
      <c r="I214" s="64">
        <v>163</v>
      </c>
      <c r="J214" s="64">
        <f t="shared" ref="J214:J220" si="208">H214*AO214</f>
        <v>0</v>
      </c>
      <c r="K214" s="64">
        <f t="shared" ref="K214:K220" si="209">H214*AP214</f>
        <v>1535.9978999999998</v>
      </c>
      <c r="L214" s="64">
        <f t="shared" ref="L214:L220" si="210">H214*I214</f>
        <v>1535.9978999999998</v>
      </c>
      <c r="M214" s="73" t="s">
        <v>1657</v>
      </c>
      <c r="N214" s="19"/>
      <c r="Z214" s="35">
        <f t="shared" ref="Z214:Z220" si="211">IF(AQ214="5",BJ214,0)</f>
        <v>1535.9978999999998</v>
      </c>
      <c r="AB214" s="35">
        <f t="shared" ref="AB214:AB220" si="212">IF(AQ214="1",BH214,0)</f>
        <v>0</v>
      </c>
      <c r="AC214" s="35">
        <f t="shared" ref="AC214:AC220" si="213">IF(AQ214="1",BI214,0)</f>
        <v>0</v>
      </c>
      <c r="AD214" s="35">
        <f t="shared" ref="AD214:AD220" si="214">IF(AQ214="7",BH214,0)</f>
        <v>0</v>
      </c>
      <c r="AE214" s="35">
        <f t="shared" ref="AE214:AE220" si="215">IF(AQ214="7",BI214,0)</f>
        <v>0</v>
      </c>
      <c r="AF214" s="35">
        <f t="shared" ref="AF214:AF220" si="216">IF(AQ214="2",BH214,0)</f>
        <v>0</v>
      </c>
      <c r="AG214" s="35">
        <f t="shared" ref="AG214:AG220" si="217">IF(AQ214="2",BI214,0)</f>
        <v>0</v>
      </c>
      <c r="AH214" s="35">
        <f t="shared" ref="AH214:AH220" si="218">IF(AQ214="0",BJ214,0)</f>
        <v>0</v>
      </c>
      <c r="AI214" s="77" t="s">
        <v>61</v>
      </c>
      <c r="AJ214" s="64">
        <f t="shared" ref="AJ214:AJ220" si="219">IF(AN214=0,L214,0)</f>
        <v>0</v>
      </c>
      <c r="AK214" s="64">
        <f t="shared" ref="AK214:AK220" si="220">IF(AN214=15,L214,0)</f>
        <v>0</v>
      </c>
      <c r="AL214" s="64">
        <f t="shared" ref="AL214:AL220" si="221">IF(AN214=21,L214,0)</f>
        <v>1535.9978999999998</v>
      </c>
      <c r="AN214" s="35">
        <v>21</v>
      </c>
      <c r="AO214" s="35">
        <f t="shared" ref="AO214:AO220" si="222">I214*0</f>
        <v>0</v>
      </c>
      <c r="AP214" s="35">
        <f t="shared" ref="AP214:AP220" si="223">I214*(1-0)</f>
        <v>163</v>
      </c>
      <c r="AQ214" s="78" t="s">
        <v>112</v>
      </c>
      <c r="AV214" s="35">
        <f t="shared" ref="AV214:AV220" si="224">AW214+AX214</f>
        <v>1535.9978999999998</v>
      </c>
      <c r="AW214" s="35">
        <f t="shared" ref="AW214:AW220" si="225">H214*AO214</f>
        <v>0</v>
      </c>
      <c r="AX214" s="35">
        <f t="shared" ref="AX214:AX220" si="226">H214*AP214</f>
        <v>1535.9978999999998</v>
      </c>
      <c r="AY214" s="80" t="s">
        <v>1684</v>
      </c>
      <c r="AZ214" s="80" t="s">
        <v>1735</v>
      </c>
      <c r="BA214" s="77" t="s">
        <v>1774</v>
      </c>
      <c r="BC214" s="35">
        <f t="shared" ref="BC214:BC220" si="227">AW214+AX214</f>
        <v>1535.9978999999998</v>
      </c>
      <c r="BD214" s="35">
        <f t="shared" ref="BD214:BD220" si="228">I214/(100-BE214)*100</f>
        <v>163</v>
      </c>
      <c r="BE214" s="35">
        <v>0</v>
      </c>
      <c r="BF214" s="35">
        <f>214</f>
        <v>214</v>
      </c>
      <c r="BH214" s="64">
        <f t="shared" ref="BH214:BH220" si="229">H214*AO214</f>
        <v>0</v>
      </c>
      <c r="BI214" s="64">
        <f t="shared" ref="BI214:BI220" si="230">H214*AP214</f>
        <v>1535.9978999999998</v>
      </c>
      <c r="BJ214" s="64">
        <f t="shared" ref="BJ214:BJ220" si="231">H214*I214</f>
        <v>1535.9978999999998</v>
      </c>
      <c r="BK214" s="64" t="s">
        <v>1790</v>
      </c>
      <c r="BL214" s="35" t="s">
        <v>145</v>
      </c>
    </row>
    <row r="215" spans="1:64">
      <c r="A215" s="47" t="s">
        <v>343</v>
      </c>
      <c r="B215" s="55" t="s">
        <v>61</v>
      </c>
      <c r="C215" s="55" t="s">
        <v>801</v>
      </c>
      <c r="D215" s="165" t="s">
        <v>1205</v>
      </c>
      <c r="E215" s="166"/>
      <c r="F215" s="166"/>
      <c r="G215" s="55" t="s">
        <v>1634</v>
      </c>
      <c r="H215" s="64">
        <v>141.34950000000001</v>
      </c>
      <c r="I215" s="64">
        <v>11</v>
      </c>
      <c r="J215" s="64">
        <f t="shared" si="208"/>
        <v>0</v>
      </c>
      <c r="K215" s="64">
        <f t="shared" si="209"/>
        <v>1554.8445000000002</v>
      </c>
      <c r="L215" s="64">
        <f t="shared" si="210"/>
        <v>1554.8445000000002</v>
      </c>
      <c r="M215" s="73" t="s">
        <v>1657</v>
      </c>
      <c r="N215" s="19"/>
      <c r="Z215" s="35">
        <f t="shared" si="211"/>
        <v>1554.8445000000002</v>
      </c>
      <c r="AB215" s="35">
        <f t="shared" si="212"/>
        <v>0</v>
      </c>
      <c r="AC215" s="35">
        <f t="shared" si="213"/>
        <v>0</v>
      </c>
      <c r="AD215" s="35">
        <f t="shared" si="214"/>
        <v>0</v>
      </c>
      <c r="AE215" s="35">
        <f t="shared" si="215"/>
        <v>0</v>
      </c>
      <c r="AF215" s="35">
        <f t="shared" si="216"/>
        <v>0</v>
      </c>
      <c r="AG215" s="35">
        <f t="shared" si="217"/>
        <v>0</v>
      </c>
      <c r="AH215" s="35">
        <f t="shared" si="218"/>
        <v>0</v>
      </c>
      <c r="AI215" s="77" t="s">
        <v>61</v>
      </c>
      <c r="AJ215" s="64">
        <f t="shared" si="219"/>
        <v>0</v>
      </c>
      <c r="AK215" s="64">
        <f t="shared" si="220"/>
        <v>0</v>
      </c>
      <c r="AL215" s="64">
        <f t="shared" si="221"/>
        <v>1554.8445000000002</v>
      </c>
      <c r="AN215" s="35">
        <v>21</v>
      </c>
      <c r="AO215" s="35">
        <f t="shared" si="222"/>
        <v>0</v>
      </c>
      <c r="AP215" s="35">
        <f t="shared" si="223"/>
        <v>11</v>
      </c>
      <c r="AQ215" s="78" t="s">
        <v>112</v>
      </c>
      <c r="AV215" s="35">
        <f t="shared" si="224"/>
        <v>1554.8445000000002</v>
      </c>
      <c r="AW215" s="35">
        <f t="shared" si="225"/>
        <v>0</v>
      </c>
      <c r="AX215" s="35">
        <f t="shared" si="226"/>
        <v>1554.8445000000002</v>
      </c>
      <c r="AY215" s="80" t="s">
        <v>1684</v>
      </c>
      <c r="AZ215" s="80" t="s">
        <v>1735</v>
      </c>
      <c r="BA215" s="77" t="s">
        <v>1774</v>
      </c>
      <c r="BC215" s="35">
        <f t="shared" si="227"/>
        <v>1554.8445000000002</v>
      </c>
      <c r="BD215" s="35">
        <f t="shared" si="228"/>
        <v>11</v>
      </c>
      <c r="BE215" s="35">
        <v>0</v>
      </c>
      <c r="BF215" s="35">
        <f>215</f>
        <v>215</v>
      </c>
      <c r="BH215" s="64">
        <f t="shared" si="229"/>
        <v>0</v>
      </c>
      <c r="BI215" s="64">
        <f t="shared" si="230"/>
        <v>1554.8445000000002</v>
      </c>
      <c r="BJ215" s="64">
        <f t="shared" si="231"/>
        <v>1554.8445000000002</v>
      </c>
      <c r="BK215" s="64" t="s">
        <v>1790</v>
      </c>
      <c r="BL215" s="35" t="s">
        <v>145</v>
      </c>
    </row>
    <row r="216" spans="1:64">
      <c r="A216" s="47" t="s">
        <v>344</v>
      </c>
      <c r="B216" s="55" t="s">
        <v>61</v>
      </c>
      <c r="C216" s="55" t="s">
        <v>802</v>
      </c>
      <c r="D216" s="165" t="s">
        <v>1206</v>
      </c>
      <c r="E216" s="166"/>
      <c r="F216" s="166"/>
      <c r="G216" s="55" t="s">
        <v>1634</v>
      </c>
      <c r="H216" s="64">
        <v>9.4232999999999993</v>
      </c>
      <c r="I216" s="64">
        <v>229</v>
      </c>
      <c r="J216" s="64">
        <f t="shared" si="208"/>
        <v>0</v>
      </c>
      <c r="K216" s="64">
        <f t="shared" si="209"/>
        <v>2157.9357</v>
      </c>
      <c r="L216" s="64">
        <f t="shared" si="210"/>
        <v>2157.9357</v>
      </c>
      <c r="M216" s="73" t="s">
        <v>1657</v>
      </c>
      <c r="N216" s="19"/>
      <c r="Z216" s="35">
        <f t="shared" si="211"/>
        <v>2157.9357</v>
      </c>
      <c r="AB216" s="35">
        <f t="shared" si="212"/>
        <v>0</v>
      </c>
      <c r="AC216" s="35">
        <f t="shared" si="213"/>
        <v>0</v>
      </c>
      <c r="AD216" s="35">
        <f t="shared" si="214"/>
        <v>0</v>
      </c>
      <c r="AE216" s="35">
        <f t="shared" si="215"/>
        <v>0</v>
      </c>
      <c r="AF216" s="35">
        <f t="shared" si="216"/>
        <v>0</v>
      </c>
      <c r="AG216" s="35">
        <f t="shared" si="217"/>
        <v>0</v>
      </c>
      <c r="AH216" s="35">
        <f t="shared" si="218"/>
        <v>0</v>
      </c>
      <c r="AI216" s="77" t="s">
        <v>61</v>
      </c>
      <c r="AJ216" s="64">
        <f t="shared" si="219"/>
        <v>0</v>
      </c>
      <c r="AK216" s="64">
        <f t="shared" si="220"/>
        <v>0</v>
      </c>
      <c r="AL216" s="64">
        <f t="shared" si="221"/>
        <v>2157.9357</v>
      </c>
      <c r="AN216" s="35">
        <v>21</v>
      </c>
      <c r="AO216" s="35">
        <f t="shared" si="222"/>
        <v>0</v>
      </c>
      <c r="AP216" s="35">
        <f t="shared" si="223"/>
        <v>229</v>
      </c>
      <c r="AQ216" s="78" t="s">
        <v>112</v>
      </c>
      <c r="AV216" s="35">
        <f t="shared" si="224"/>
        <v>2157.9357</v>
      </c>
      <c r="AW216" s="35">
        <f t="shared" si="225"/>
        <v>0</v>
      </c>
      <c r="AX216" s="35">
        <f t="shared" si="226"/>
        <v>2157.9357</v>
      </c>
      <c r="AY216" s="80" t="s">
        <v>1684</v>
      </c>
      <c r="AZ216" s="80" t="s">
        <v>1735</v>
      </c>
      <c r="BA216" s="77" t="s">
        <v>1774</v>
      </c>
      <c r="BC216" s="35">
        <f t="shared" si="227"/>
        <v>2157.9357</v>
      </c>
      <c r="BD216" s="35">
        <f t="shared" si="228"/>
        <v>229</v>
      </c>
      <c r="BE216" s="35">
        <v>0</v>
      </c>
      <c r="BF216" s="35">
        <f>216</f>
        <v>216</v>
      </c>
      <c r="BH216" s="64">
        <f t="shared" si="229"/>
        <v>0</v>
      </c>
      <c r="BI216" s="64">
        <f t="shared" si="230"/>
        <v>2157.9357</v>
      </c>
      <c r="BJ216" s="64">
        <f t="shared" si="231"/>
        <v>2157.9357</v>
      </c>
      <c r="BK216" s="64" t="s">
        <v>1790</v>
      </c>
      <c r="BL216" s="35" t="s">
        <v>145</v>
      </c>
    </row>
    <row r="217" spans="1:64">
      <c r="A217" s="47" t="s">
        <v>345</v>
      </c>
      <c r="B217" s="55" t="s">
        <v>61</v>
      </c>
      <c r="C217" s="55" t="s">
        <v>803</v>
      </c>
      <c r="D217" s="165" t="s">
        <v>1207</v>
      </c>
      <c r="E217" s="166"/>
      <c r="F217" s="166"/>
      <c r="G217" s="55" t="s">
        <v>1634</v>
      </c>
      <c r="H217" s="64">
        <v>37.693199999999997</v>
      </c>
      <c r="I217" s="64">
        <v>25</v>
      </c>
      <c r="J217" s="64">
        <f t="shared" si="208"/>
        <v>0</v>
      </c>
      <c r="K217" s="64">
        <f t="shared" si="209"/>
        <v>942.32999999999993</v>
      </c>
      <c r="L217" s="64">
        <f t="shared" si="210"/>
        <v>942.32999999999993</v>
      </c>
      <c r="M217" s="73" t="s">
        <v>1657</v>
      </c>
      <c r="N217" s="19"/>
      <c r="Z217" s="35">
        <f t="shared" si="211"/>
        <v>942.32999999999993</v>
      </c>
      <c r="AB217" s="35">
        <f t="shared" si="212"/>
        <v>0</v>
      </c>
      <c r="AC217" s="35">
        <f t="shared" si="213"/>
        <v>0</v>
      </c>
      <c r="AD217" s="35">
        <f t="shared" si="214"/>
        <v>0</v>
      </c>
      <c r="AE217" s="35">
        <f t="shared" si="215"/>
        <v>0</v>
      </c>
      <c r="AF217" s="35">
        <f t="shared" si="216"/>
        <v>0</v>
      </c>
      <c r="AG217" s="35">
        <f t="shared" si="217"/>
        <v>0</v>
      </c>
      <c r="AH217" s="35">
        <f t="shared" si="218"/>
        <v>0</v>
      </c>
      <c r="AI217" s="77" t="s">
        <v>61</v>
      </c>
      <c r="AJ217" s="64">
        <f t="shared" si="219"/>
        <v>0</v>
      </c>
      <c r="AK217" s="64">
        <f t="shared" si="220"/>
        <v>0</v>
      </c>
      <c r="AL217" s="64">
        <f t="shared" si="221"/>
        <v>942.32999999999993</v>
      </c>
      <c r="AN217" s="35">
        <v>21</v>
      </c>
      <c r="AO217" s="35">
        <f t="shared" si="222"/>
        <v>0</v>
      </c>
      <c r="AP217" s="35">
        <f t="shared" si="223"/>
        <v>25</v>
      </c>
      <c r="AQ217" s="78" t="s">
        <v>112</v>
      </c>
      <c r="AV217" s="35">
        <f t="shared" si="224"/>
        <v>942.32999999999993</v>
      </c>
      <c r="AW217" s="35">
        <f t="shared" si="225"/>
        <v>0</v>
      </c>
      <c r="AX217" s="35">
        <f t="shared" si="226"/>
        <v>942.32999999999993</v>
      </c>
      <c r="AY217" s="80" t="s">
        <v>1684</v>
      </c>
      <c r="AZ217" s="80" t="s">
        <v>1735</v>
      </c>
      <c r="BA217" s="77" t="s">
        <v>1774</v>
      </c>
      <c r="BC217" s="35">
        <f t="shared" si="227"/>
        <v>942.32999999999993</v>
      </c>
      <c r="BD217" s="35">
        <f t="shared" si="228"/>
        <v>25</v>
      </c>
      <c r="BE217" s="35">
        <v>0</v>
      </c>
      <c r="BF217" s="35">
        <f>217</f>
        <v>217</v>
      </c>
      <c r="BH217" s="64">
        <f t="shared" si="229"/>
        <v>0</v>
      </c>
      <c r="BI217" s="64">
        <f t="shared" si="230"/>
        <v>942.32999999999993</v>
      </c>
      <c r="BJ217" s="64">
        <f t="shared" si="231"/>
        <v>942.32999999999993</v>
      </c>
      <c r="BK217" s="64" t="s">
        <v>1790</v>
      </c>
      <c r="BL217" s="35" t="s">
        <v>145</v>
      </c>
    </row>
    <row r="218" spans="1:64">
      <c r="A218" s="47" t="s">
        <v>346</v>
      </c>
      <c r="B218" s="55" t="s">
        <v>61</v>
      </c>
      <c r="C218" s="55" t="s">
        <v>804</v>
      </c>
      <c r="D218" s="165" t="s">
        <v>1208</v>
      </c>
      <c r="E218" s="166"/>
      <c r="F218" s="166"/>
      <c r="G218" s="55" t="s">
        <v>1634</v>
      </c>
      <c r="H218" s="64">
        <v>7.1279999999999996E-2</v>
      </c>
      <c r="I218" s="64">
        <v>216</v>
      </c>
      <c r="J218" s="64">
        <f t="shared" si="208"/>
        <v>0</v>
      </c>
      <c r="K218" s="64">
        <f t="shared" si="209"/>
        <v>15.396479999999999</v>
      </c>
      <c r="L218" s="64">
        <f t="shared" si="210"/>
        <v>15.396479999999999</v>
      </c>
      <c r="M218" s="73" t="s">
        <v>1657</v>
      </c>
      <c r="N218" s="19"/>
      <c r="Z218" s="35">
        <f t="shared" si="211"/>
        <v>15.396479999999999</v>
      </c>
      <c r="AB218" s="35">
        <f t="shared" si="212"/>
        <v>0</v>
      </c>
      <c r="AC218" s="35">
        <f t="shared" si="213"/>
        <v>0</v>
      </c>
      <c r="AD218" s="35">
        <f t="shared" si="214"/>
        <v>0</v>
      </c>
      <c r="AE218" s="35">
        <f t="shared" si="215"/>
        <v>0</v>
      </c>
      <c r="AF218" s="35">
        <f t="shared" si="216"/>
        <v>0</v>
      </c>
      <c r="AG218" s="35">
        <f t="shared" si="217"/>
        <v>0</v>
      </c>
      <c r="AH218" s="35">
        <f t="shared" si="218"/>
        <v>0</v>
      </c>
      <c r="AI218" s="77" t="s">
        <v>61</v>
      </c>
      <c r="AJ218" s="64">
        <f t="shared" si="219"/>
        <v>0</v>
      </c>
      <c r="AK218" s="64">
        <f t="shared" si="220"/>
        <v>0</v>
      </c>
      <c r="AL218" s="64">
        <f t="shared" si="221"/>
        <v>15.396479999999999</v>
      </c>
      <c r="AN218" s="35">
        <v>21</v>
      </c>
      <c r="AO218" s="35">
        <f t="shared" si="222"/>
        <v>0</v>
      </c>
      <c r="AP218" s="35">
        <f t="shared" si="223"/>
        <v>216</v>
      </c>
      <c r="AQ218" s="78" t="s">
        <v>112</v>
      </c>
      <c r="AV218" s="35">
        <f t="shared" si="224"/>
        <v>15.396479999999999</v>
      </c>
      <c r="AW218" s="35">
        <f t="shared" si="225"/>
        <v>0</v>
      </c>
      <c r="AX218" s="35">
        <f t="shared" si="226"/>
        <v>15.396479999999999</v>
      </c>
      <c r="AY218" s="80" t="s">
        <v>1684</v>
      </c>
      <c r="AZ218" s="80" t="s">
        <v>1735</v>
      </c>
      <c r="BA218" s="77" t="s">
        <v>1774</v>
      </c>
      <c r="BC218" s="35">
        <f t="shared" si="227"/>
        <v>15.396479999999999</v>
      </c>
      <c r="BD218" s="35">
        <f t="shared" si="228"/>
        <v>216</v>
      </c>
      <c r="BE218" s="35">
        <v>0</v>
      </c>
      <c r="BF218" s="35">
        <f>218</f>
        <v>218</v>
      </c>
      <c r="BH218" s="64">
        <f t="shared" si="229"/>
        <v>0</v>
      </c>
      <c r="BI218" s="64">
        <f t="shared" si="230"/>
        <v>15.396479999999999</v>
      </c>
      <c r="BJ218" s="64">
        <f t="shared" si="231"/>
        <v>15.396479999999999</v>
      </c>
      <c r="BK218" s="64" t="s">
        <v>1790</v>
      </c>
      <c r="BL218" s="35" t="s">
        <v>145</v>
      </c>
    </row>
    <row r="219" spans="1:64">
      <c r="A219" s="47" t="s">
        <v>347</v>
      </c>
      <c r="B219" s="55" t="s">
        <v>61</v>
      </c>
      <c r="C219" s="55" t="s">
        <v>819</v>
      </c>
      <c r="D219" s="165" t="s">
        <v>1223</v>
      </c>
      <c r="E219" s="166"/>
      <c r="F219" s="166"/>
      <c r="G219" s="55" t="s">
        <v>1634</v>
      </c>
      <c r="H219" s="64">
        <v>0.90703</v>
      </c>
      <c r="I219" s="64">
        <v>1566</v>
      </c>
      <c r="J219" s="64">
        <f t="shared" si="208"/>
        <v>0</v>
      </c>
      <c r="K219" s="64">
        <f t="shared" si="209"/>
        <v>1420.4089799999999</v>
      </c>
      <c r="L219" s="64">
        <f t="shared" si="210"/>
        <v>1420.4089799999999</v>
      </c>
      <c r="M219" s="73" t="s">
        <v>1657</v>
      </c>
      <c r="N219" s="19"/>
      <c r="Z219" s="35">
        <f t="shared" si="211"/>
        <v>1420.4089799999999</v>
      </c>
      <c r="AB219" s="35">
        <f t="shared" si="212"/>
        <v>0</v>
      </c>
      <c r="AC219" s="35">
        <f t="shared" si="213"/>
        <v>0</v>
      </c>
      <c r="AD219" s="35">
        <f t="shared" si="214"/>
        <v>0</v>
      </c>
      <c r="AE219" s="35">
        <f t="shared" si="215"/>
        <v>0</v>
      </c>
      <c r="AF219" s="35">
        <f t="shared" si="216"/>
        <v>0</v>
      </c>
      <c r="AG219" s="35">
        <f t="shared" si="217"/>
        <v>0</v>
      </c>
      <c r="AH219" s="35">
        <f t="shared" si="218"/>
        <v>0</v>
      </c>
      <c r="AI219" s="77" t="s">
        <v>61</v>
      </c>
      <c r="AJ219" s="64">
        <f t="shared" si="219"/>
        <v>0</v>
      </c>
      <c r="AK219" s="64">
        <f t="shared" si="220"/>
        <v>0</v>
      </c>
      <c r="AL219" s="64">
        <f t="shared" si="221"/>
        <v>1420.4089799999999</v>
      </c>
      <c r="AN219" s="35">
        <v>21</v>
      </c>
      <c r="AO219" s="35">
        <f t="shared" si="222"/>
        <v>0</v>
      </c>
      <c r="AP219" s="35">
        <f t="shared" si="223"/>
        <v>1566</v>
      </c>
      <c r="AQ219" s="78" t="s">
        <v>112</v>
      </c>
      <c r="AV219" s="35">
        <f t="shared" si="224"/>
        <v>1420.4089799999999</v>
      </c>
      <c r="AW219" s="35">
        <f t="shared" si="225"/>
        <v>0</v>
      </c>
      <c r="AX219" s="35">
        <f t="shared" si="226"/>
        <v>1420.4089799999999</v>
      </c>
      <c r="AY219" s="80" t="s">
        <v>1684</v>
      </c>
      <c r="AZ219" s="80" t="s">
        <v>1735</v>
      </c>
      <c r="BA219" s="77" t="s">
        <v>1774</v>
      </c>
      <c r="BC219" s="35">
        <f t="shared" si="227"/>
        <v>1420.4089799999999</v>
      </c>
      <c r="BD219" s="35">
        <f t="shared" si="228"/>
        <v>1566</v>
      </c>
      <c r="BE219" s="35">
        <v>0</v>
      </c>
      <c r="BF219" s="35">
        <f>219</f>
        <v>219</v>
      </c>
      <c r="BH219" s="64">
        <f t="shared" si="229"/>
        <v>0</v>
      </c>
      <c r="BI219" s="64">
        <f t="shared" si="230"/>
        <v>1420.4089799999999</v>
      </c>
      <c r="BJ219" s="64">
        <f t="shared" si="231"/>
        <v>1420.4089799999999</v>
      </c>
      <c r="BK219" s="64" t="s">
        <v>1790</v>
      </c>
      <c r="BL219" s="35" t="s">
        <v>145</v>
      </c>
    </row>
    <row r="220" spans="1:64">
      <c r="A220" s="47" t="s">
        <v>348</v>
      </c>
      <c r="B220" s="55" t="s">
        <v>61</v>
      </c>
      <c r="C220" s="55" t="s">
        <v>859</v>
      </c>
      <c r="D220" s="165" t="s">
        <v>1266</v>
      </c>
      <c r="E220" s="166"/>
      <c r="F220" s="166"/>
      <c r="G220" s="55" t="s">
        <v>1634</v>
      </c>
      <c r="H220" s="64">
        <v>8.4449900000000007</v>
      </c>
      <c r="I220" s="64">
        <v>990</v>
      </c>
      <c r="J220" s="64">
        <f t="shared" si="208"/>
        <v>0</v>
      </c>
      <c r="K220" s="64">
        <f t="shared" si="209"/>
        <v>8360.5401000000002</v>
      </c>
      <c r="L220" s="64">
        <f t="shared" si="210"/>
        <v>8360.5401000000002</v>
      </c>
      <c r="M220" s="73" t="s">
        <v>1657</v>
      </c>
      <c r="N220" s="19"/>
      <c r="Z220" s="35">
        <f t="shared" si="211"/>
        <v>8360.5401000000002</v>
      </c>
      <c r="AB220" s="35">
        <f t="shared" si="212"/>
        <v>0</v>
      </c>
      <c r="AC220" s="35">
        <f t="shared" si="213"/>
        <v>0</v>
      </c>
      <c r="AD220" s="35">
        <f t="shared" si="214"/>
        <v>0</v>
      </c>
      <c r="AE220" s="35">
        <f t="shared" si="215"/>
        <v>0</v>
      </c>
      <c r="AF220" s="35">
        <f t="shared" si="216"/>
        <v>0</v>
      </c>
      <c r="AG220" s="35">
        <f t="shared" si="217"/>
        <v>0</v>
      </c>
      <c r="AH220" s="35">
        <f t="shared" si="218"/>
        <v>0</v>
      </c>
      <c r="AI220" s="77" t="s">
        <v>61</v>
      </c>
      <c r="AJ220" s="64">
        <f t="shared" si="219"/>
        <v>0</v>
      </c>
      <c r="AK220" s="64">
        <f t="shared" si="220"/>
        <v>0</v>
      </c>
      <c r="AL220" s="64">
        <f t="shared" si="221"/>
        <v>8360.5401000000002</v>
      </c>
      <c r="AN220" s="35">
        <v>21</v>
      </c>
      <c r="AO220" s="35">
        <f t="shared" si="222"/>
        <v>0</v>
      </c>
      <c r="AP220" s="35">
        <f t="shared" si="223"/>
        <v>990</v>
      </c>
      <c r="AQ220" s="78" t="s">
        <v>112</v>
      </c>
      <c r="AV220" s="35">
        <f t="shared" si="224"/>
        <v>8360.5401000000002</v>
      </c>
      <c r="AW220" s="35">
        <f t="shared" si="225"/>
        <v>0</v>
      </c>
      <c r="AX220" s="35">
        <f t="shared" si="226"/>
        <v>8360.5401000000002</v>
      </c>
      <c r="AY220" s="80" t="s">
        <v>1684</v>
      </c>
      <c r="AZ220" s="80" t="s">
        <v>1735</v>
      </c>
      <c r="BA220" s="77" t="s">
        <v>1774</v>
      </c>
      <c r="BC220" s="35">
        <f t="shared" si="227"/>
        <v>8360.5401000000002</v>
      </c>
      <c r="BD220" s="35">
        <f t="shared" si="228"/>
        <v>990</v>
      </c>
      <c r="BE220" s="35">
        <v>0</v>
      </c>
      <c r="BF220" s="35">
        <f>220</f>
        <v>220</v>
      </c>
      <c r="BH220" s="64">
        <f t="shared" si="229"/>
        <v>0</v>
      </c>
      <c r="BI220" s="64">
        <f t="shared" si="230"/>
        <v>8360.5401000000002</v>
      </c>
      <c r="BJ220" s="64">
        <f t="shared" si="231"/>
        <v>8360.5401000000002</v>
      </c>
      <c r="BK220" s="64" t="s">
        <v>1790</v>
      </c>
      <c r="BL220" s="35" t="s">
        <v>145</v>
      </c>
    </row>
    <row r="221" spans="1:64">
      <c r="A221" s="46"/>
      <c r="B221" s="54" t="s">
        <v>61</v>
      </c>
      <c r="C221" s="54" t="s">
        <v>150</v>
      </c>
      <c r="D221" s="163" t="s">
        <v>201</v>
      </c>
      <c r="E221" s="164"/>
      <c r="F221" s="164"/>
      <c r="G221" s="61" t="s">
        <v>57</v>
      </c>
      <c r="H221" s="61" t="s">
        <v>57</v>
      </c>
      <c r="I221" s="61" t="s">
        <v>57</v>
      </c>
      <c r="J221" s="83">
        <f>SUM(J222:J222)</f>
        <v>0</v>
      </c>
      <c r="K221" s="83">
        <f>SUM(K222:K222)</f>
        <v>2801.3999999999996</v>
      </c>
      <c r="L221" s="83">
        <f>SUM(L222:L222)</f>
        <v>2801.3999999999996</v>
      </c>
      <c r="M221" s="72"/>
      <c r="N221" s="19"/>
      <c r="AI221" s="77" t="s">
        <v>61</v>
      </c>
      <c r="AS221" s="83">
        <f>SUM(AJ222:AJ222)</f>
        <v>0</v>
      </c>
      <c r="AT221" s="83">
        <f>SUM(AK222:AK222)</f>
        <v>0</v>
      </c>
      <c r="AU221" s="83">
        <f>SUM(AL222:AL222)</f>
        <v>2801.3999999999996</v>
      </c>
    </row>
    <row r="222" spans="1:64">
      <c r="A222" s="47" t="s">
        <v>349</v>
      </c>
      <c r="B222" s="55" t="s">
        <v>61</v>
      </c>
      <c r="C222" s="55" t="s">
        <v>860</v>
      </c>
      <c r="D222" s="165" t="s">
        <v>1267</v>
      </c>
      <c r="E222" s="166"/>
      <c r="F222" s="166"/>
      <c r="G222" s="55" t="s">
        <v>1632</v>
      </c>
      <c r="H222" s="64">
        <v>17.399999999999999</v>
      </c>
      <c r="I222" s="64">
        <v>161</v>
      </c>
      <c r="J222" s="64">
        <f>H222*AO222</f>
        <v>0</v>
      </c>
      <c r="K222" s="64">
        <f>H222*AP222</f>
        <v>2801.3999999999996</v>
      </c>
      <c r="L222" s="64">
        <f>H222*I222</f>
        <v>2801.3999999999996</v>
      </c>
      <c r="M222" s="73" t="s">
        <v>1657</v>
      </c>
      <c r="N222" s="19"/>
      <c r="Z222" s="35">
        <f>IF(AQ222="5",BJ222,0)</f>
        <v>0</v>
      </c>
      <c r="AB222" s="35">
        <f>IF(AQ222="1",BH222,0)</f>
        <v>0</v>
      </c>
      <c r="AC222" s="35">
        <f>IF(AQ222="1",BI222,0)</f>
        <v>2801.3999999999996</v>
      </c>
      <c r="AD222" s="35">
        <f>IF(AQ222="7",BH222,0)</f>
        <v>0</v>
      </c>
      <c r="AE222" s="35">
        <f>IF(AQ222="7",BI222,0)</f>
        <v>0</v>
      </c>
      <c r="AF222" s="35">
        <f>IF(AQ222="2",BH222,0)</f>
        <v>0</v>
      </c>
      <c r="AG222" s="35">
        <f>IF(AQ222="2",BI222,0)</f>
        <v>0</v>
      </c>
      <c r="AH222" s="35">
        <f>IF(AQ222="0",BJ222,0)</f>
        <v>0</v>
      </c>
      <c r="AI222" s="77" t="s">
        <v>61</v>
      </c>
      <c r="AJ222" s="64">
        <f>IF(AN222=0,L222,0)</f>
        <v>0</v>
      </c>
      <c r="AK222" s="64">
        <f>IF(AN222=15,L222,0)</f>
        <v>0</v>
      </c>
      <c r="AL222" s="64">
        <f>IF(AN222=21,L222,0)</f>
        <v>2801.3999999999996</v>
      </c>
      <c r="AN222" s="35">
        <v>21</v>
      </c>
      <c r="AO222" s="35">
        <f>I222*0</f>
        <v>0</v>
      </c>
      <c r="AP222" s="35">
        <f>I222*(1-0)</f>
        <v>161</v>
      </c>
      <c r="AQ222" s="78" t="s">
        <v>109</v>
      </c>
      <c r="AV222" s="35">
        <f>AW222+AX222</f>
        <v>2801.3999999999996</v>
      </c>
      <c r="AW222" s="35">
        <f>H222*AO222</f>
        <v>0</v>
      </c>
      <c r="AX222" s="35">
        <f>H222*AP222</f>
        <v>2801.3999999999996</v>
      </c>
      <c r="AY222" s="80" t="s">
        <v>1689</v>
      </c>
      <c r="AZ222" s="80" t="s">
        <v>1733</v>
      </c>
      <c r="BA222" s="77" t="s">
        <v>1774</v>
      </c>
      <c r="BC222" s="35">
        <f>AW222+AX222</f>
        <v>2801.3999999999996</v>
      </c>
      <c r="BD222" s="35">
        <f>I222/(100-BE222)*100</f>
        <v>161</v>
      </c>
      <c r="BE222" s="35">
        <v>0</v>
      </c>
      <c r="BF222" s="35">
        <f>222</f>
        <v>222</v>
      </c>
      <c r="BH222" s="64">
        <f>H222*AO222</f>
        <v>0</v>
      </c>
      <c r="BI222" s="64">
        <f>H222*AP222</f>
        <v>2801.3999999999996</v>
      </c>
      <c r="BJ222" s="64">
        <f>H222*I222</f>
        <v>2801.3999999999996</v>
      </c>
      <c r="BK222" s="64" t="s">
        <v>1790</v>
      </c>
      <c r="BL222" s="35">
        <v>63</v>
      </c>
    </row>
    <row r="223" spans="1:64">
      <c r="A223" s="46"/>
      <c r="B223" s="54" t="s">
        <v>61</v>
      </c>
      <c r="C223" s="54" t="s">
        <v>151</v>
      </c>
      <c r="D223" s="163" t="s">
        <v>202</v>
      </c>
      <c r="E223" s="164"/>
      <c r="F223" s="164"/>
      <c r="G223" s="61" t="s">
        <v>57</v>
      </c>
      <c r="H223" s="61" t="s">
        <v>57</v>
      </c>
      <c r="I223" s="61" t="s">
        <v>57</v>
      </c>
      <c r="J223" s="83">
        <f>SUM(J224:J230)</f>
        <v>0</v>
      </c>
      <c r="K223" s="83">
        <f>SUM(K224:K230)</f>
        <v>360.42782999999997</v>
      </c>
      <c r="L223" s="83">
        <f>SUM(L224:L230)</f>
        <v>360.42782999999997</v>
      </c>
      <c r="M223" s="72"/>
      <c r="N223" s="19"/>
      <c r="AI223" s="77" t="s">
        <v>61</v>
      </c>
      <c r="AS223" s="83">
        <f>SUM(AJ224:AJ230)</f>
        <v>0</v>
      </c>
      <c r="AT223" s="83">
        <f>SUM(AK224:AK230)</f>
        <v>0</v>
      </c>
      <c r="AU223" s="83">
        <f>SUM(AL224:AL230)</f>
        <v>360.42782999999997</v>
      </c>
    </row>
    <row r="224" spans="1:64">
      <c r="A224" s="47" t="s">
        <v>350</v>
      </c>
      <c r="B224" s="55" t="s">
        <v>61</v>
      </c>
      <c r="C224" s="55" t="s">
        <v>861</v>
      </c>
      <c r="D224" s="165" t="s">
        <v>1268</v>
      </c>
      <c r="E224" s="166"/>
      <c r="F224" s="166"/>
      <c r="G224" s="55" t="s">
        <v>1632</v>
      </c>
      <c r="H224" s="64">
        <v>3</v>
      </c>
      <c r="I224" s="64">
        <v>9</v>
      </c>
      <c r="J224" s="64">
        <f>H224*AO224</f>
        <v>0</v>
      </c>
      <c r="K224" s="64">
        <f>H224*AP224</f>
        <v>27</v>
      </c>
      <c r="L224" s="64">
        <f>H224*I224</f>
        <v>27</v>
      </c>
      <c r="M224" s="73" t="s">
        <v>1657</v>
      </c>
      <c r="N224" s="19"/>
      <c r="Z224" s="35">
        <f>IF(AQ224="5",BJ224,0)</f>
        <v>0</v>
      </c>
      <c r="AB224" s="35">
        <f>IF(AQ224="1",BH224,0)</f>
        <v>0</v>
      </c>
      <c r="AC224" s="35">
        <f>IF(AQ224="1",BI224,0)</f>
        <v>0</v>
      </c>
      <c r="AD224" s="35">
        <f>IF(AQ224="7",BH224,0)</f>
        <v>0</v>
      </c>
      <c r="AE224" s="35">
        <f>IF(AQ224="7",BI224,0)</f>
        <v>27</v>
      </c>
      <c r="AF224" s="35">
        <f>IF(AQ224="2",BH224,0)</f>
        <v>0</v>
      </c>
      <c r="AG224" s="35">
        <f>IF(AQ224="2",BI224,0)</f>
        <v>0</v>
      </c>
      <c r="AH224" s="35">
        <f>IF(AQ224="0",BJ224,0)</f>
        <v>0</v>
      </c>
      <c r="AI224" s="77" t="s">
        <v>61</v>
      </c>
      <c r="AJ224" s="64">
        <f>IF(AN224=0,L224,0)</f>
        <v>0</v>
      </c>
      <c r="AK224" s="64">
        <f>IF(AN224=15,L224,0)</f>
        <v>0</v>
      </c>
      <c r="AL224" s="64">
        <f>IF(AN224=21,L224,0)</f>
        <v>27</v>
      </c>
      <c r="AN224" s="35">
        <v>21</v>
      </c>
      <c r="AO224" s="35">
        <f>I224*0</f>
        <v>0</v>
      </c>
      <c r="AP224" s="35">
        <f>I224*(1-0)</f>
        <v>9</v>
      </c>
      <c r="AQ224" s="78" t="s">
        <v>235</v>
      </c>
      <c r="AV224" s="35">
        <f>AW224+AX224</f>
        <v>27</v>
      </c>
      <c r="AW224" s="35">
        <f>H224*AO224</f>
        <v>0</v>
      </c>
      <c r="AX224" s="35">
        <f>H224*AP224</f>
        <v>27</v>
      </c>
      <c r="AY224" s="80" t="s">
        <v>1690</v>
      </c>
      <c r="AZ224" s="80" t="s">
        <v>1736</v>
      </c>
      <c r="BA224" s="77" t="s">
        <v>1774</v>
      </c>
      <c r="BC224" s="35">
        <f>AW224+AX224</f>
        <v>27</v>
      </c>
      <c r="BD224" s="35">
        <f>I224/(100-BE224)*100</f>
        <v>9</v>
      </c>
      <c r="BE224" s="35">
        <v>0</v>
      </c>
      <c r="BF224" s="35">
        <f>224</f>
        <v>224</v>
      </c>
      <c r="BH224" s="64">
        <f>H224*AO224</f>
        <v>0</v>
      </c>
      <c r="BI224" s="64">
        <f>H224*AP224</f>
        <v>27</v>
      </c>
      <c r="BJ224" s="64">
        <f>H224*I224</f>
        <v>27</v>
      </c>
      <c r="BK224" s="64" t="s">
        <v>1790</v>
      </c>
      <c r="BL224" s="35">
        <v>711</v>
      </c>
    </row>
    <row r="225" spans="1:64">
      <c r="A225" s="19"/>
      <c r="C225" s="59" t="s">
        <v>730</v>
      </c>
      <c r="D225" s="167" t="s">
        <v>1269</v>
      </c>
      <c r="E225" s="168"/>
      <c r="F225" s="168"/>
      <c r="G225" s="168"/>
      <c r="H225" s="168"/>
      <c r="I225" s="168"/>
      <c r="J225" s="168"/>
      <c r="K225" s="168"/>
      <c r="L225" s="168"/>
      <c r="M225" s="169"/>
      <c r="N225" s="19"/>
    </row>
    <row r="226" spans="1:64">
      <c r="A226" s="47" t="s">
        <v>351</v>
      </c>
      <c r="B226" s="55" t="s">
        <v>61</v>
      </c>
      <c r="C226" s="55" t="s">
        <v>862</v>
      </c>
      <c r="D226" s="165" t="s">
        <v>1270</v>
      </c>
      <c r="E226" s="166"/>
      <c r="F226" s="166"/>
      <c r="G226" s="55" t="s">
        <v>1632</v>
      </c>
      <c r="H226" s="64">
        <v>3</v>
      </c>
      <c r="I226" s="64">
        <v>81</v>
      </c>
      <c r="J226" s="64">
        <f>H226*AO226</f>
        <v>0</v>
      </c>
      <c r="K226" s="64">
        <f>H226*AP226</f>
        <v>243</v>
      </c>
      <c r="L226" s="64">
        <f>H226*I226</f>
        <v>243</v>
      </c>
      <c r="M226" s="73" t="s">
        <v>1657</v>
      </c>
      <c r="N226" s="19"/>
      <c r="Z226" s="35">
        <f>IF(AQ226="5",BJ226,0)</f>
        <v>0</v>
      </c>
      <c r="AB226" s="35">
        <f>IF(AQ226="1",BH226,0)</f>
        <v>0</v>
      </c>
      <c r="AC226" s="35">
        <f>IF(AQ226="1",BI226,0)</f>
        <v>0</v>
      </c>
      <c r="AD226" s="35">
        <f>IF(AQ226="7",BH226,0)</f>
        <v>0</v>
      </c>
      <c r="AE226" s="35">
        <f>IF(AQ226="7",BI226,0)</f>
        <v>243</v>
      </c>
      <c r="AF226" s="35">
        <f>IF(AQ226="2",BH226,0)</f>
        <v>0</v>
      </c>
      <c r="AG226" s="35">
        <f>IF(AQ226="2",BI226,0)</f>
        <v>0</v>
      </c>
      <c r="AH226" s="35">
        <f>IF(AQ226="0",BJ226,0)</f>
        <v>0</v>
      </c>
      <c r="AI226" s="77" t="s">
        <v>61</v>
      </c>
      <c r="AJ226" s="64">
        <f>IF(AN226=0,L226,0)</f>
        <v>0</v>
      </c>
      <c r="AK226" s="64">
        <f>IF(AN226=15,L226,0)</f>
        <v>0</v>
      </c>
      <c r="AL226" s="64">
        <f>IF(AN226=21,L226,0)</f>
        <v>243</v>
      </c>
      <c r="AN226" s="35">
        <v>21</v>
      </c>
      <c r="AO226" s="35">
        <f>I226*0</f>
        <v>0</v>
      </c>
      <c r="AP226" s="35">
        <f>I226*(1-0)</f>
        <v>81</v>
      </c>
      <c r="AQ226" s="78" t="s">
        <v>235</v>
      </c>
      <c r="AV226" s="35">
        <f>AW226+AX226</f>
        <v>243</v>
      </c>
      <c r="AW226" s="35">
        <f>H226*AO226</f>
        <v>0</v>
      </c>
      <c r="AX226" s="35">
        <f>H226*AP226</f>
        <v>243</v>
      </c>
      <c r="AY226" s="80" t="s">
        <v>1690</v>
      </c>
      <c r="AZ226" s="80" t="s">
        <v>1736</v>
      </c>
      <c r="BA226" s="77" t="s">
        <v>1774</v>
      </c>
      <c r="BC226" s="35">
        <f>AW226+AX226</f>
        <v>243</v>
      </c>
      <c r="BD226" s="35">
        <f>I226/(100-BE226)*100</f>
        <v>81</v>
      </c>
      <c r="BE226" s="35">
        <v>0</v>
      </c>
      <c r="BF226" s="35">
        <f>226</f>
        <v>226</v>
      </c>
      <c r="BH226" s="64">
        <f>H226*AO226</f>
        <v>0</v>
      </c>
      <c r="BI226" s="64">
        <f>H226*AP226</f>
        <v>243</v>
      </c>
      <c r="BJ226" s="64">
        <f>H226*I226</f>
        <v>243</v>
      </c>
      <c r="BK226" s="64" t="s">
        <v>1790</v>
      </c>
      <c r="BL226" s="35">
        <v>711</v>
      </c>
    </row>
    <row r="227" spans="1:64">
      <c r="A227" s="19"/>
      <c r="C227" s="59" t="s">
        <v>730</v>
      </c>
      <c r="D227" s="167" t="s">
        <v>1271</v>
      </c>
      <c r="E227" s="168"/>
      <c r="F227" s="168"/>
      <c r="G227" s="168"/>
      <c r="H227" s="168"/>
      <c r="I227" s="168"/>
      <c r="J227" s="168"/>
      <c r="K227" s="168"/>
      <c r="L227" s="168"/>
      <c r="M227" s="169"/>
      <c r="N227" s="19"/>
    </row>
    <row r="228" spans="1:64">
      <c r="A228" s="47" t="s">
        <v>352</v>
      </c>
      <c r="B228" s="55" t="s">
        <v>61</v>
      </c>
      <c r="C228" s="55" t="s">
        <v>863</v>
      </c>
      <c r="D228" s="165" t="s">
        <v>1272</v>
      </c>
      <c r="E228" s="166"/>
      <c r="F228" s="166"/>
      <c r="G228" s="55" t="s">
        <v>1632</v>
      </c>
      <c r="H228" s="64">
        <v>3</v>
      </c>
      <c r="I228" s="64">
        <v>2</v>
      </c>
      <c r="J228" s="64">
        <f>H228*AO228</f>
        <v>0</v>
      </c>
      <c r="K228" s="64">
        <f>H228*AP228</f>
        <v>6</v>
      </c>
      <c r="L228" s="64">
        <f>H228*I228</f>
        <v>6</v>
      </c>
      <c r="M228" s="73" t="s">
        <v>1657</v>
      </c>
      <c r="N228" s="19"/>
      <c r="Z228" s="35">
        <f>IF(AQ228="5",BJ228,0)</f>
        <v>0</v>
      </c>
      <c r="AB228" s="35">
        <f>IF(AQ228="1",BH228,0)</f>
        <v>0</v>
      </c>
      <c r="AC228" s="35">
        <f>IF(AQ228="1",BI228,0)</f>
        <v>0</v>
      </c>
      <c r="AD228" s="35">
        <f>IF(AQ228="7",BH228,0)</f>
        <v>0</v>
      </c>
      <c r="AE228" s="35">
        <f>IF(AQ228="7",BI228,0)</f>
        <v>6</v>
      </c>
      <c r="AF228" s="35">
        <f>IF(AQ228="2",BH228,0)</f>
        <v>0</v>
      </c>
      <c r="AG228" s="35">
        <f>IF(AQ228="2",BI228,0)</f>
        <v>0</v>
      </c>
      <c r="AH228" s="35">
        <f>IF(AQ228="0",BJ228,0)</f>
        <v>0</v>
      </c>
      <c r="AI228" s="77" t="s">
        <v>61</v>
      </c>
      <c r="AJ228" s="64">
        <f>IF(AN228=0,L228,0)</f>
        <v>0</v>
      </c>
      <c r="AK228" s="64">
        <f>IF(AN228=15,L228,0)</f>
        <v>0</v>
      </c>
      <c r="AL228" s="64">
        <f>IF(AN228=21,L228,0)</f>
        <v>6</v>
      </c>
      <c r="AN228" s="35">
        <v>21</v>
      </c>
      <c r="AO228" s="35">
        <f>I228*0</f>
        <v>0</v>
      </c>
      <c r="AP228" s="35">
        <f>I228*(1-0)</f>
        <v>2</v>
      </c>
      <c r="AQ228" s="78" t="s">
        <v>235</v>
      </c>
      <c r="AV228" s="35">
        <f>AW228+AX228</f>
        <v>6</v>
      </c>
      <c r="AW228" s="35">
        <f>H228*AO228</f>
        <v>0</v>
      </c>
      <c r="AX228" s="35">
        <f>H228*AP228</f>
        <v>6</v>
      </c>
      <c r="AY228" s="80" t="s">
        <v>1690</v>
      </c>
      <c r="AZ228" s="80" t="s">
        <v>1736</v>
      </c>
      <c r="BA228" s="77" t="s">
        <v>1774</v>
      </c>
      <c r="BC228" s="35">
        <f>AW228+AX228</f>
        <v>6</v>
      </c>
      <c r="BD228" s="35">
        <f>I228/(100-BE228)*100</f>
        <v>2</v>
      </c>
      <c r="BE228" s="35">
        <v>0</v>
      </c>
      <c r="BF228" s="35">
        <f>228</f>
        <v>228</v>
      </c>
      <c r="BH228" s="64">
        <f>H228*AO228</f>
        <v>0</v>
      </c>
      <c r="BI228" s="64">
        <f>H228*AP228</f>
        <v>6</v>
      </c>
      <c r="BJ228" s="64">
        <f>H228*I228</f>
        <v>6</v>
      </c>
      <c r="BK228" s="64" t="s">
        <v>1790</v>
      </c>
      <c r="BL228" s="35">
        <v>711</v>
      </c>
    </row>
    <row r="229" spans="1:64">
      <c r="A229" s="47" t="s">
        <v>353</v>
      </c>
      <c r="B229" s="55" t="s">
        <v>61</v>
      </c>
      <c r="C229" s="55" t="s">
        <v>864</v>
      </c>
      <c r="D229" s="165" t="s">
        <v>1273</v>
      </c>
      <c r="E229" s="166"/>
      <c r="F229" s="166"/>
      <c r="G229" s="55" t="s">
        <v>1632</v>
      </c>
      <c r="H229" s="64">
        <v>3</v>
      </c>
      <c r="I229" s="64">
        <v>24</v>
      </c>
      <c r="J229" s="64">
        <f>H229*AO229</f>
        <v>0</v>
      </c>
      <c r="K229" s="64">
        <f>H229*AP229</f>
        <v>72</v>
      </c>
      <c r="L229" s="64">
        <f>H229*I229</f>
        <v>72</v>
      </c>
      <c r="M229" s="73" t="s">
        <v>1657</v>
      </c>
      <c r="N229" s="19"/>
      <c r="Z229" s="35">
        <f>IF(AQ229="5",BJ229,0)</f>
        <v>0</v>
      </c>
      <c r="AB229" s="35">
        <f>IF(AQ229="1",BH229,0)</f>
        <v>0</v>
      </c>
      <c r="AC229" s="35">
        <f>IF(AQ229="1",BI229,0)</f>
        <v>0</v>
      </c>
      <c r="AD229" s="35">
        <f>IF(AQ229="7",BH229,0)</f>
        <v>0</v>
      </c>
      <c r="AE229" s="35">
        <f>IF(AQ229="7",BI229,0)</f>
        <v>72</v>
      </c>
      <c r="AF229" s="35">
        <f>IF(AQ229="2",BH229,0)</f>
        <v>0</v>
      </c>
      <c r="AG229" s="35">
        <f>IF(AQ229="2",BI229,0)</f>
        <v>0</v>
      </c>
      <c r="AH229" s="35">
        <f>IF(AQ229="0",BJ229,0)</f>
        <v>0</v>
      </c>
      <c r="AI229" s="77" t="s">
        <v>61</v>
      </c>
      <c r="AJ229" s="64">
        <f>IF(AN229=0,L229,0)</f>
        <v>0</v>
      </c>
      <c r="AK229" s="64">
        <f>IF(AN229=15,L229,0)</f>
        <v>0</v>
      </c>
      <c r="AL229" s="64">
        <f>IF(AN229=21,L229,0)</f>
        <v>72</v>
      </c>
      <c r="AN229" s="35">
        <v>21</v>
      </c>
      <c r="AO229" s="35">
        <f>I229*0</f>
        <v>0</v>
      </c>
      <c r="AP229" s="35">
        <f>I229*(1-0)</f>
        <v>24</v>
      </c>
      <c r="AQ229" s="78" t="s">
        <v>235</v>
      </c>
      <c r="AV229" s="35">
        <f>AW229+AX229</f>
        <v>72</v>
      </c>
      <c r="AW229" s="35">
        <f>H229*AO229</f>
        <v>0</v>
      </c>
      <c r="AX229" s="35">
        <f>H229*AP229</f>
        <v>72</v>
      </c>
      <c r="AY229" s="80" t="s">
        <v>1690</v>
      </c>
      <c r="AZ229" s="80" t="s">
        <v>1736</v>
      </c>
      <c r="BA229" s="77" t="s">
        <v>1774</v>
      </c>
      <c r="BC229" s="35">
        <f>AW229+AX229</f>
        <v>72</v>
      </c>
      <c r="BD229" s="35">
        <f>I229/(100-BE229)*100</f>
        <v>24</v>
      </c>
      <c r="BE229" s="35">
        <v>0</v>
      </c>
      <c r="BF229" s="35">
        <f>229</f>
        <v>229</v>
      </c>
      <c r="BH229" s="64">
        <f>H229*AO229</f>
        <v>0</v>
      </c>
      <c r="BI229" s="64">
        <f>H229*AP229</f>
        <v>72</v>
      </c>
      <c r="BJ229" s="64">
        <f>H229*I229</f>
        <v>72</v>
      </c>
      <c r="BK229" s="64" t="s">
        <v>1790</v>
      </c>
      <c r="BL229" s="35">
        <v>711</v>
      </c>
    </row>
    <row r="230" spans="1:64">
      <c r="A230" s="47" t="s">
        <v>354</v>
      </c>
      <c r="B230" s="55" t="s">
        <v>61</v>
      </c>
      <c r="C230" s="55" t="s">
        <v>865</v>
      </c>
      <c r="D230" s="165" t="s">
        <v>1274</v>
      </c>
      <c r="E230" s="166"/>
      <c r="F230" s="166"/>
      <c r="G230" s="55" t="s">
        <v>1634</v>
      </c>
      <c r="H230" s="64">
        <v>1.8089999999999998E-2</v>
      </c>
      <c r="I230" s="64">
        <v>687</v>
      </c>
      <c r="J230" s="64">
        <f>H230*AO230</f>
        <v>0</v>
      </c>
      <c r="K230" s="64">
        <f>H230*AP230</f>
        <v>12.427829999999998</v>
      </c>
      <c r="L230" s="64">
        <f>H230*I230</f>
        <v>12.427829999999998</v>
      </c>
      <c r="M230" s="73" t="s">
        <v>1657</v>
      </c>
      <c r="N230" s="19"/>
      <c r="Z230" s="35">
        <f>IF(AQ230="5",BJ230,0)</f>
        <v>12.427829999999998</v>
      </c>
      <c r="AB230" s="35">
        <f>IF(AQ230="1",BH230,0)</f>
        <v>0</v>
      </c>
      <c r="AC230" s="35">
        <f>IF(AQ230="1",BI230,0)</f>
        <v>0</v>
      </c>
      <c r="AD230" s="35">
        <f>IF(AQ230="7",BH230,0)</f>
        <v>0</v>
      </c>
      <c r="AE230" s="35">
        <f>IF(AQ230="7",BI230,0)</f>
        <v>0</v>
      </c>
      <c r="AF230" s="35">
        <f>IF(AQ230="2",BH230,0)</f>
        <v>0</v>
      </c>
      <c r="AG230" s="35">
        <f>IF(AQ230="2",BI230,0)</f>
        <v>0</v>
      </c>
      <c r="AH230" s="35">
        <f>IF(AQ230="0",BJ230,0)</f>
        <v>0</v>
      </c>
      <c r="AI230" s="77" t="s">
        <v>61</v>
      </c>
      <c r="AJ230" s="64">
        <f>IF(AN230=0,L230,0)</f>
        <v>0</v>
      </c>
      <c r="AK230" s="64">
        <f>IF(AN230=15,L230,0)</f>
        <v>0</v>
      </c>
      <c r="AL230" s="64">
        <f>IF(AN230=21,L230,0)</f>
        <v>12.427829999999998</v>
      </c>
      <c r="AN230" s="35">
        <v>21</v>
      </c>
      <c r="AO230" s="35">
        <f>I230*0</f>
        <v>0</v>
      </c>
      <c r="AP230" s="35">
        <f>I230*(1-0)</f>
        <v>687</v>
      </c>
      <c r="AQ230" s="78" t="s">
        <v>112</v>
      </c>
      <c r="AV230" s="35">
        <f>AW230+AX230</f>
        <v>12.427829999999998</v>
      </c>
      <c r="AW230" s="35">
        <f>H230*AO230</f>
        <v>0</v>
      </c>
      <c r="AX230" s="35">
        <f>H230*AP230</f>
        <v>12.427829999999998</v>
      </c>
      <c r="AY230" s="80" t="s">
        <v>1690</v>
      </c>
      <c r="AZ230" s="80" t="s">
        <v>1736</v>
      </c>
      <c r="BA230" s="77" t="s">
        <v>1774</v>
      </c>
      <c r="BC230" s="35">
        <f>AW230+AX230</f>
        <v>12.427829999999998</v>
      </c>
      <c r="BD230" s="35">
        <f>I230/(100-BE230)*100</f>
        <v>687</v>
      </c>
      <c r="BE230" s="35">
        <v>0</v>
      </c>
      <c r="BF230" s="35">
        <f>230</f>
        <v>230</v>
      </c>
      <c r="BH230" s="64">
        <f>H230*AO230</f>
        <v>0</v>
      </c>
      <c r="BI230" s="64">
        <f>H230*AP230</f>
        <v>12.427829999999998</v>
      </c>
      <c r="BJ230" s="64">
        <f>H230*I230</f>
        <v>12.427829999999998</v>
      </c>
      <c r="BK230" s="64" t="s">
        <v>1790</v>
      </c>
      <c r="BL230" s="35">
        <v>711</v>
      </c>
    </row>
    <row r="231" spans="1:64">
      <c r="A231" s="46"/>
      <c r="B231" s="54" t="s">
        <v>61</v>
      </c>
      <c r="C231" s="54" t="s">
        <v>152</v>
      </c>
      <c r="D231" s="163" t="s">
        <v>203</v>
      </c>
      <c r="E231" s="164"/>
      <c r="F231" s="164"/>
      <c r="G231" s="61" t="s">
        <v>57</v>
      </c>
      <c r="H231" s="61" t="s">
        <v>57</v>
      </c>
      <c r="I231" s="61" t="s">
        <v>57</v>
      </c>
      <c r="J231" s="83">
        <f>SUM(J232:J267)</f>
        <v>657544.39999999991</v>
      </c>
      <c r="K231" s="83">
        <f>SUM(K232:K267)</f>
        <v>154305.99256000001</v>
      </c>
      <c r="L231" s="83">
        <f>SUM(L232:L267)</f>
        <v>811850.39255999995</v>
      </c>
      <c r="M231" s="72"/>
      <c r="N231" s="19"/>
      <c r="AI231" s="77" t="s">
        <v>61</v>
      </c>
      <c r="AS231" s="83">
        <f>SUM(AJ232:AJ267)</f>
        <v>0</v>
      </c>
      <c r="AT231" s="83">
        <f>SUM(AK232:AK267)</f>
        <v>0</v>
      </c>
      <c r="AU231" s="83">
        <f>SUM(AL232:AL267)</f>
        <v>811850.39255999995</v>
      </c>
    </row>
    <row r="232" spans="1:64">
      <c r="A232" s="47" t="s">
        <v>355</v>
      </c>
      <c r="B232" s="55" t="s">
        <v>61</v>
      </c>
      <c r="C232" s="55" t="s">
        <v>866</v>
      </c>
      <c r="D232" s="165" t="s">
        <v>1275</v>
      </c>
      <c r="E232" s="166"/>
      <c r="F232" s="166"/>
      <c r="G232" s="55" t="s">
        <v>1633</v>
      </c>
      <c r="H232" s="64">
        <v>420</v>
      </c>
      <c r="I232" s="64">
        <v>95</v>
      </c>
      <c r="J232" s="64">
        <f>H232*AO232</f>
        <v>0</v>
      </c>
      <c r="K232" s="64">
        <f>H232*AP232</f>
        <v>39900</v>
      </c>
      <c r="L232" s="64">
        <f>H232*I232</f>
        <v>39900</v>
      </c>
      <c r="M232" s="73" t="s">
        <v>1659</v>
      </c>
      <c r="N232" s="19"/>
      <c r="Z232" s="35">
        <f>IF(AQ232="5",BJ232,0)</f>
        <v>0</v>
      </c>
      <c r="AB232" s="35">
        <f>IF(AQ232="1",BH232,0)</f>
        <v>0</v>
      </c>
      <c r="AC232" s="35">
        <f>IF(AQ232="1",BI232,0)</f>
        <v>0</v>
      </c>
      <c r="AD232" s="35">
        <f>IF(AQ232="7",BH232,0)</f>
        <v>0</v>
      </c>
      <c r="AE232" s="35">
        <f>IF(AQ232="7",BI232,0)</f>
        <v>39900</v>
      </c>
      <c r="AF232" s="35">
        <f>IF(AQ232="2",BH232,0)</f>
        <v>0</v>
      </c>
      <c r="AG232" s="35">
        <f>IF(AQ232="2",BI232,0)</f>
        <v>0</v>
      </c>
      <c r="AH232" s="35">
        <f>IF(AQ232="0",BJ232,0)</f>
        <v>0</v>
      </c>
      <c r="AI232" s="77" t="s">
        <v>61</v>
      </c>
      <c r="AJ232" s="64">
        <f>IF(AN232=0,L232,0)</f>
        <v>0</v>
      </c>
      <c r="AK232" s="64">
        <f>IF(AN232=15,L232,0)</f>
        <v>0</v>
      </c>
      <c r="AL232" s="64">
        <f>IF(AN232=21,L232,0)</f>
        <v>39900</v>
      </c>
      <c r="AN232" s="35">
        <v>21</v>
      </c>
      <c r="AO232" s="35">
        <f>I232*0</f>
        <v>0</v>
      </c>
      <c r="AP232" s="35">
        <f>I232*(1-0)</f>
        <v>95</v>
      </c>
      <c r="AQ232" s="78" t="s">
        <v>235</v>
      </c>
      <c r="AV232" s="35">
        <f>AW232+AX232</f>
        <v>39900</v>
      </c>
      <c r="AW232" s="35">
        <f>H232*AO232</f>
        <v>0</v>
      </c>
      <c r="AX232" s="35">
        <f>H232*AP232</f>
        <v>39900</v>
      </c>
      <c r="AY232" s="80" t="s">
        <v>1691</v>
      </c>
      <c r="AZ232" s="80" t="s">
        <v>1734</v>
      </c>
      <c r="BA232" s="77" t="s">
        <v>1774</v>
      </c>
      <c r="BC232" s="35">
        <f>AW232+AX232</f>
        <v>39900</v>
      </c>
      <c r="BD232" s="35">
        <f>I232/(100-BE232)*100</f>
        <v>95</v>
      </c>
      <c r="BE232" s="35">
        <v>0</v>
      </c>
      <c r="BF232" s="35">
        <f>232</f>
        <v>232</v>
      </c>
      <c r="BH232" s="64">
        <f>H232*AO232</f>
        <v>0</v>
      </c>
      <c r="BI232" s="64">
        <f>H232*AP232</f>
        <v>39900</v>
      </c>
      <c r="BJ232" s="64">
        <f>H232*I232</f>
        <v>39900</v>
      </c>
      <c r="BK232" s="64" t="s">
        <v>1790</v>
      </c>
      <c r="BL232" s="35">
        <v>766</v>
      </c>
    </row>
    <row r="233" spans="1:64">
      <c r="A233" s="19"/>
      <c r="C233" s="59" t="s">
        <v>730</v>
      </c>
      <c r="D233" s="167" t="s">
        <v>1276</v>
      </c>
      <c r="E233" s="168"/>
      <c r="F233" s="168"/>
      <c r="G233" s="168"/>
      <c r="H233" s="168"/>
      <c r="I233" s="168"/>
      <c r="J233" s="168"/>
      <c r="K233" s="168"/>
      <c r="L233" s="168"/>
      <c r="M233" s="169"/>
      <c r="N233" s="19"/>
    </row>
    <row r="234" spans="1:64">
      <c r="A234" s="47" t="s">
        <v>356</v>
      </c>
      <c r="B234" s="55" t="s">
        <v>61</v>
      </c>
      <c r="C234" s="55" t="s">
        <v>867</v>
      </c>
      <c r="D234" s="165" t="s">
        <v>1277</v>
      </c>
      <c r="E234" s="166"/>
      <c r="F234" s="166"/>
      <c r="G234" s="55" t="s">
        <v>1631</v>
      </c>
      <c r="H234" s="64">
        <v>43</v>
      </c>
      <c r="I234" s="64">
        <v>827</v>
      </c>
      <c r="J234" s="64">
        <f t="shared" ref="J234:J267" si="232">H234*AO234</f>
        <v>0</v>
      </c>
      <c r="K234" s="64">
        <f t="shared" ref="K234:K267" si="233">H234*AP234</f>
        <v>35561</v>
      </c>
      <c r="L234" s="64">
        <f t="shared" ref="L234:L267" si="234">H234*I234</f>
        <v>35561</v>
      </c>
      <c r="M234" s="73" t="s">
        <v>1657</v>
      </c>
      <c r="N234" s="19"/>
      <c r="Z234" s="35">
        <f t="shared" ref="Z234:Z267" si="235">IF(AQ234="5",BJ234,0)</f>
        <v>0</v>
      </c>
      <c r="AB234" s="35">
        <f t="shared" ref="AB234:AB267" si="236">IF(AQ234="1",BH234,0)</f>
        <v>0</v>
      </c>
      <c r="AC234" s="35">
        <f t="shared" ref="AC234:AC267" si="237">IF(AQ234="1",BI234,0)</f>
        <v>0</v>
      </c>
      <c r="AD234" s="35">
        <f t="shared" ref="AD234:AD267" si="238">IF(AQ234="7",BH234,0)</f>
        <v>0</v>
      </c>
      <c r="AE234" s="35">
        <f t="shared" ref="AE234:AE267" si="239">IF(AQ234="7",BI234,0)</f>
        <v>35561</v>
      </c>
      <c r="AF234" s="35">
        <f t="shared" ref="AF234:AF267" si="240">IF(AQ234="2",BH234,0)</f>
        <v>0</v>
      </c>
      <c r="AG234" s="35">
        <f t="shared" ref="AG234:AG267" si="241">IF(AQ234="2",BI234,0)</f>
        <v>0</v>
      </c>
      <c r="AH234" s="35">
        <f t="shared" ref="AH234:AH267" si="242">IF(AQ234="0",BJ234,0)</f>
        <v>0</v>
      </c>
      <c r="AI234" s="77" t="s">
        <v>61</v>
      </c>
      <c r="AJ234" s="64">
        <f t="shared" ref="AJ234:AJ267" si="243">IF(AN234=0,L234,0)</f>
        <v>0</v>
      </c>
      <c r="AK234" s="64">
        <f t="shared" ref="AK234:AK267" si="244">IF(AN234=15,L234,0)</f>
        <v>0</v>
      </c>
      <c r="AL234" s="64">
        <f t="shared" ref="AL234:AL267" si="245">IF(AN234=21,L234,0)</f>
        <v>35561</v>
      </c>
      <c r="AN234" s="35">
        <v>21</v>
      </c>
      <c r="AO234" s="35">
        <f>I234*0</f>
        <v>0</v>
      </c>
      <c r="AP234" s="35">
        <f>I234*(1-0)</f>
        <v>827</v>
      </c>
      <c r="AQ234" s="78" t="s">
        <v>235</v>
      </c>
      <c r="AV234" s="35">
        <f t="shared" ref="AV234:AV267" si="246">AW234+AX234</f>
        <v>35561</v>
      </c>
      <c r="AW234" s="35">
        <f t="shared" ref="AW234:AW267" si="247">H234*AO234</f>
        <v>0</v>
      </c>
      <c r="AX234" s="35">
        <f t="shared" ref="AX234:AX267" si="248">H234*AP234</f>
        <v>35561</v>
      </c>
      <c r="AY234" s="80" t="s">
        <v>1691</v>
      </c>
      <c r="AZ234" s="80" t="s">
        <v>1734</v>
      </c>
      <c r="BA234" s="77" t="s">
        <v>1774</v>
      </c>
      <c r="BC234" s="35">
        <f t="shared" ref="BC234:BC267" si="249">AW234+AX234</f>
        <v>35561</v>
      </c>
      <c r="BD234" s="35">
        <f t="shared" ref="BD234:BD267" si="250">I234/(100-BE234)*100</f>
        <v>827</v>
      </c>
      <c r="BE234" s="35">
        <v>0</v>
      </c>
      <c r="BF234" s="35">
        <f>234</f>
        <v>234</v>
      </c>
      <c r="BH234" s="64">
        <f t="shared" ref="BH234:BH267" si="251">H234*AO234</f>
        <v>0</v>
      </c>
      <c r="BI234" s="64">
        <f t="shared" ref="BI234:BI267" si="252">H234*AP234</f>
        <v>35561</v>
      </c>
      <c r="BJ234" s="64">
        <f t="shared" ref="BJ234:BJ267" si="253">H234*I234</f>
        <v>35561</v>
      </c>
      <c r="BK234" s="64" t="s">
        <v>1790</v>
      </c>
      <c r="BL234" s="35">
        <v>766</v>
      </c>
    </row>
    <row r="235" spans="1:64">
      <c r="A235" s="48" t="s">
        <v>357</v>
      </c>
      <c r="B235" s="56" t="s">
        <v>61</v>
      </c>
      <c r="C235" s="56" t="s">
        <v>868</v>
      </c>
      <c r="D235" s="170" t="s">
        <v>1278</v>
      </c>
      <c r="E235" s="171"/>
      <c r="F235" s="171"/>
      <c r="G235" s="56" t="s">
        <v>1636</v>
      </c>
      <c r="H235" s="65">
        <v>1</v>
      </c>
      <c r="I235" s="65">
        <v>4968</v>
      </c>
      <c r="J235" s="65">
        <f t="shared" si="232"/>
        <v>4968</v>
      </c>
      <c r="K235" s="65">
        <f t="shared" si="233"/>
        <v>0</v>
      </c>
      <c r="L235" s="65">
        <f t="shared" si="234"/>
        <v>4968</v>
      </c>
      <c r="M235" s="74" t="s">
        <v>1658</v>
      </c>
      <c r="N235" s="19"/>
      <c r="Z235" s="35">
        <f t="shared" si="235"/>
        <v>0</v>
      </c>
      <c r="AB235" s="35">
        <f t="shared" si="236"/>
        <v>0</v>
      </c>
      <c r="AC235" s="35">
        <f t="shared" si="237"/>
        <v>0</v>
      </c>
      <c r="AD235" s="35">
        <f t="shared" si="238"/>
        <v>4968</v>
      </c>
      <c r="AE235" s="35">
        <f t="shared" si="239"/>
        <v>0</v>
      </c>
      <c r="AF235" s="35">
        <f t="shared" si="240"/>
        <v>0</v>
      </c>
      <c r="AG235" s="35">
        <f t="shared" si="241"/>
        <v>0</v>
      </c>
      <c r="AH235" s="35">
        <f t="shared" si="242"/>
        <v>0</v>
      </c>
      <c r="AI235" s="77" t="s">
        <v>61</v>
      </c>
      <c r="AJ235" s="65">
        <f t="shared" si="243"/>
        <v>0</v>
      </c>
      <c r="AK235" s="65">
        <f t="shared" si="244"/>
        <v>0</v>
      </c>
      <c r="AL235" s="65">
        <f t="shared" si="245"/>
        <v>4968</v>
      </c>
      <c r="AN235" s="35">
        <v>21</v>
      </c>
      <c r="AO235" s="35">
        <f>I235*1</f>
        <v>4968</v>
      </c>
      <c r="AP235" s="35">
        <f>I235*(1-1)</f>
        <v>0</v>
      </c>
      <c r="AQ235" s="79" t="s">
        <v>235</v>
      </c>
      <c r="AV235" s="35">
        <f t="shared" si="246"/>
        <v>4968</v>
      </c>
      <c r="AW235" s="35">
        <f t="shared" si="247"/>
        <v>4968</v>
      </c>
      <c r="AX235" s="35">
        <f t="shared" si="248"/>
        <v>0</v>
      </c>
      <c r="AY235" s="80" t="s">
        <v>1691</v>
      </c>
      <c r="AZ235" s="80" t="s">
        <v>1734</v>
      </c>
      <c r="BA235" s="77" t="s">
        <v>1774</v>
      </c>
      <c r="BC235" s="35">
        <f t="shared" si="249"/>
        <v>4968</v>
      </c>
      <c r="BD235" s="35">
        <f t="shared" si="250"/>
        <v>4968</v>
      </c>
      <c r="BE235" s="35">
        <v>0</v>
      </c>
      <c r="BF235" s="35">
        <f>235</f>
        <v>235</v>
      </c>
      <c r="BH235" s="65">
        <f t="shared" si="251"/>
        <v>4968</v>
      </c>
      <c r="BI235" s="65">
        <f t="shared" si="252"/>
        <v>0</v>
      </c>
      <c r="BJ235" s="65">
        <f t="shared" si="253"/>
        <v>4968</v>
      </c>
      <c r="BK235" s="65" t="s">
        <v>1642</v>
      </c>
      <c r="BL235" s="35">
        <v>766</v>
      </c>
    </row>
    <row r="236" spans="1:64">
      <c r="A236" s="48" t="s">
        <v>358</v>
      </c>
      <c r="B236" s="56" t="s">
        <v>61</v>
      </c>
      <c r="C236" s="56" t="s">
        <v>869</v>
      </c>
      <c r="D236" s="170" t="s">
        <v>1279</v>
      </c>
      <c r="E236" s="171"/>
      <c r="F236" s="171"/>
      <c r="G236" s="56" t="s">
        <v>1636</v>
      </c>
      <c r="H236" s="65">
        <v>1</v>
      </c>
      <c r="I236" s="65">
        <v>2232</v>
      </c>
      <c r="J236" s="65">
        <f t="shared" si="232"/>
        <v>2232</v>
      </c>
      <c r="K236" s="65">
        <f t="shared" si="233"/>
        <v>0</v>
      </c>
      <c r="L236" s="65">
        <f t="shared" si="234"/>
        <v>2232</v>
      </c>
      <c r="M236" s="74" t="s">
        <v>1658</v>
      </c>
      <c r="N236" s="19"/>
      <c r="Z236" s="35">
        <f t="shared" si="235"/>
        <v>0</v>
      </c>
      <c r="AB236" s="35">
        <f t="shared" si="236"/>
        <v>0</v>
      </c>
      <c r="AC236" s="35">
        <f t="shared" si="237"/>
        <v>0</v>
      </c>
      <c r="AD236" s="35">
        <f t="shared" si="238"/>
        <v>2232</v>
      </c>
      <c r="AE236" s="35">
        <f t="shared" si="239"/>
        <v>0</v>
      </c>
      <c r="AF236" s="35">
        <f t="shared" si="240"/>
        <v>0</v>
      </c>
      <c r="AG236" s="35">
        <f t="shared" si="241"/>
        <v>0</v>
      </c>
      <c r="AH236" s="35">
        <f t="shared" si="242"/>
        <v>0</v>
      </c>
      <c r="AI236" s="77" t="s">
        <v>61</v>
      </c>
      <c r="AJ236" s="65">
        <f t="shared" si="243"/>
        <v>0</v>
      </c>
      <c r="AK236" s="65">
        <f t="shared" si="244"/>
        <v>0</v>
      </c>
      <c r="AL236" s="65">
        <f t="shared" si="245"/>
        <v>2232</v>
      </c>
      <c r="AN236" s="35">
        <v>21</v>
      </c>
      <c r="AO236" s="35">
        <f>I236*1</f>
        <v>2232</v>
      </c>
      <c r="AP236" s="35">
        <f>I236*(1-1)</f>
        <v>0</v>
      </c>
      <c r="AQ236" s="79" t="s">
        <v>235</v>
      </c>
      <c r="AV236" s="35">
        <f t="shared" si="246"/>
        <v>2232</v>
      </c>
      <c r="AW236" s="35">
        <f t="shared" si="247"/>
        <v>2232</v>
      </c>
      <c r="AX236" s="35">
        <f t="shared" si="248"/>
        <v>0</v>
      </c>
      <c r="AY236" s="80" t="s">
        <v>1691</v>
      </c>
      <c r="AZ236" s="80" t="s">
        <v>1734</v>
      </c>
      <c r="BA236" s="77" t="s">
        <v>1774</v>
      </c>
      <c r="BC236" s="35">
        <f t="shared" si="249"/>
        <v>2232</v>
      </c>
      <c r="BD236" s="35">
        <f t="shared" si="250"/>
        <v>2232</v>
      </c>
      <c r="BE236" s="35">
        <v>0</v>
      </c>
      <c r="BF236" s="35">
        <f>236</f>
        <v>236</v>
      </c>
      <c r="BH236" s="65">
        <f t="shared" si="251"/>
        <v>2232</v>
      </c>
      <c r="BI236" s="65">
        <f t="shared" si="252"/>
        <v>0</v>
      </c>
      <c r="BJ236" s="65">
        <f t="shared" si="253"/>
        <v>2232</v>
      </c>
      <c r="BK236" s="65" t="s">
        <v>1642</v>
      </c>
      <c r="BL236" s="35">
        <v>766</v>
      </c>
    </row>
    <row r="237" spans="1:64">
      <c r="A237" s="48" t="s">
        <v>359</v>
      </c>
      <c r="B237" s="56" t="s">
        <v>61</v>
      </c>
      <c r="C237" s="56" t="s">
        <v>870</v>
      </c>
      <c r="D237" s="170" t="s">
        <v>1280</v>
      </c>
      <c r="E237" s="171"/>
      <c r="F237" s="171"/>
      <c r="G237" s="56" t="s">
        <v>1636</v>
      </c>
      <c r="H237" s="65">
        <v>40</v>
      </c>
      <c r="I237" s="65">
        <v>2448</v>
      </c>
      <c r="J237" s="65">
        <f t="shared" si="232"/>
        <v>97920</v>
      </c>
      <c r="K237" s="65">
        <f t="shared" si="233"/>
        <v>0</v>
      </c>
      <c r="L237" s="65">
        <f t="shared" si="234"/>
        <v>97920</v>
      </c>
      <c r="M237" s="74" t="s">
        <v>1658</v>
      </c>
      <c r="N237" s="19"/>
      <c r="Z237" s="35">
        <f t="shared" si="235"/>
        <v>0</v>
      </c>
      <c r="AB237" s="35">
        <f t="shared" si="236"/>
        <v>0</v>
      </c>
      <c r="AC237" s="35">
        <f t="shared" si="237"/>
        <v>0</v>
      </c>
      <c r="AD237" s="35">
        <f t="shared" si="238"/>
        <v>97920</v>
      </c>
      <c r="AE237" s="35">
        <f t="shared" si="239"/>
        <v>0</v>
      </c>
      <c r="AF237" s="35">
        <f t="shared" si="240"/>
        <v>0</v>
      </c>
      <c r="AG237" s="35">
        <f t="shared" si="241"/>
        <v>0</v>
      </c>
      <c r="AH237" s="35">
        <f t="shared" si="242"/>
        <v>0</v>
      </c>
      <c r="AI237" s="77" t="s">
        <v>61</v>
      </c>
      <c r="AJ237" s="65">
        <f t="shared" si="243"/>
        <v>0</v>
      </c>
      <c r="AK237" s="65">
        <f t="shared" si="244"/>
        <v>0</v>
      </c>
      <c r="AL237" s="65">
        <f t="shared" si="245"/>
        <v>97920</v>
      </c>
      <c r="AN237" s="35">
        <v>21</v>
      </c>
      <c r="AO237" s="35">
        <f>I237*1</f>
        <v>2448</v>
      </c>
      <c r="AP237" s="35">
        <f>I237*(1-1)</f>
        <v>0</v>
      </c>
      <c r="AQ237" s="79" t="s">
        <v>235</v>
      </c>
      <c r="AV237" s="35">
        <f t="shared" si="246"/>
        <v>97920</v>
      </c>
      <c r="AW237" s="35">
        <f t="shared" si="247"/>
        <v>97920</v>
      </c>
      <c r="AX237" s="35">
        <f t="shared" si="248"/>
        <v>0</v>
      </c>
      <c r="AY237" s="80" t="s">
        <v>1691</v>
      </c>
      <c r="AZ237" s="80" t="s">
        <v>1734</v>
      </c>
      <c r="BA237" s="77" t="s">
        <v>1774</v>
      </c>
      <c r="BC237" s="35">
        <f t="shared" si="249"/>
        <v>97920</v>
      </c>
      <c r="BD237" s="35">
        <f t="shared" si="250"/>
        <v>2448</v>
      </c>
      <c r="BE237" s="35">
        <v>0</v>
      </c>
      <c r="BF237" s="35">
        <f>237</f>
        <v>237</v>
      </c>
      <c r="BH237" s="65">
        <f t="shared" si="251"/>
        <v>97920</v>
      </c>
      <c r="BI237" s="65">
        <f t="shared" si="252"/>
        <v>0</v>
      </c>
      <c r="BJ237" s="65">
        <f t="shared" si="253"/>
        <v>97920</v>
      </c>
      <c r="BK237" s="65" t="s">
        <v>1642</v>
      </c>
      <c r="BL237" s="35">
        <v>766</v>
      </c>
    </row>
    <row r="238" spans="1:64">
      <c r="A238" s="48" t="s">
        <v>360</v>
      </c>
      <c r="B238" s="56" t="s">
        <v>61</v>
      </c>
      <c r="C238" s="56" t="s">
        <v>871</v>
      </c>
      <c r="D238" s="170" t="s">
        <v>1281</v>
      </c>
      <c r="E238" s="171"/>
      <c r="F238" s="171"/>
      <c r="G238" s="56" t="s">
        <v>1636</v>
      </c>
      <c r="H238" s="65">
        <v>1</v>
      </c>
      <c r="I238" s="65">
        <v>2232</v>
      </c>
      <c r="J238" s="65">
        <f t="shared" si="232"/>
        <v>2232</v>
      </c>
      <c r="K238" s="65">
        <f t="shared" si="233"/>
        <v>0</v>
      </c>
      <c r="L238" s="65">
        <f t="shared" si="234"/>
        <v>2232</v>
      </c>
      <c r="M238" s="74" t="s">
        <v>1658</v>
      </c>
      <c r="N238" s="19"/>
      <c r="Z238" s="35">
        <f t="shared" si="235"/>
        <v>0</v>
      </c>
      <c r="AB238" s="35">
        <f t="shared" si="236"/>
        <v>0</v>
      </c>
      <c r="AC238" s="35">
        <f t="shared" si="237"/>
        <v>0</v>
      </c>
      <c r="AD238" s="35">
        <f t="shared" si="238"/>
        <v>2232</v>
      </c>
      <c r="AE238" s="35">
        <f t="shared" si="239"/>
        <v>0</v>
      </c>
      <c r="AF238" s="35">
        <f t="shared" si="240"/>
        <v>0</v>
      </c>
      <c r="AG238" s="35">
        <f t="shared" si="241"/>
        <v>0</v>
      </c>
      <c r="AH238" s="35">
        <f t="shared" si="242"/>
        <v>0</v>
      </c>
      <c r="AI238" s="77" t="s">
        <v>61</v>
      </c>
      <c r="AJ238" s="65">
        <f t="shared" si="243"/>
        <v>0</v>
      </c>
      <c r="AK238" s="65">
        <f t="shared" si="244"/>
        <v>0</v>
      </c>
      <c r="AL238" s="65">
        <f t="shared" si="245"/>
        <v>2232</v>
      </c>
      <c r="AN238" s="35">
        <v>21</v>
      </c>
      <c r="AO238" s="35">
        <f>I238*1</f>
        <v>2232</v>
      </c>
      <c r="AP238" s="35">
        <f>I238*(1-1)</f>
        <v>0</v>
      </c>
      <c r="AQ238" s="79" t="s">
        <v>235</v>
      </c>
      <c r="AV238" s="35">
        <f t="shared" si="246"/>
        <v>2232</v>
      </c>
      <c r="AW238" s="35">
        <f t="shared" si="247"/>
        <v>2232</v>
      </c>
      <c r="AX238" s="35">
        <f t="shared" si="248"/>
        <v>0</v>
      </c>
      <c r="AY238" s="80" t="s">
        <v>1691</v>
      </c>
      <c r="AZ238" s="80" t="s">
        <v>1734</v>
      </c>
      <c r="BA238" s="77" t="s">
        <v>1774</v>
      </c>
      <c r="BC238" s="35">
        <f t="shared" si="249"/>
        <v>2232</v>
      </c>
      <c r="BD238" s="35">
        <f t="shared" si="250"/>
        <v>2232</v>
      </c>
      <c r="BE238" s="35">
        <v>0</v>
      </c>
      <c r="BF238" s="35">
        <f>238</f>
        <v>238</v>
      </c>
      <c r="BH238" s="65">
        <f t="shared" si="251"/>
        <v>2232</v>
      </c>
      <c r="BI238" s="65">
        <f t="shared" si="252"/>
        <v>0</v>
      </c>
      <c r="BJ238" s="65">
        <f t="shared" si="253"/>
        <v>2232</v>
      </c>
      <c r="BK238" s="65" t="s">
        <v>1642</v>
      </c>
      <c r="BL238" s="35">
        <v>766</v>
      </c>
    </row>
    <row r="239" spans="1:64">
      <c r="A239" s="48" t="s">
        <v>361</v>
      </c>
      <c r="B239" s="56" t="s">
        <v>61</v>
      </c>
      <c r="C239" s="56" t="s">
        <v>872</v>
      </c>
      <c r="D239" s="170" t="s">
        <v>1282</v>
      </c>
      <c r="E239" s="171"/>
      <c r="F239" s="171"/>
      <c r="G239" s="56" t="s">
        <v>1636</v>
      </c>
      <c r="H239" s="65">
        <v>40</v>
      </c>
      <c r="I239" s="65">
        <v>1872</v>
      </c>
      <c r="J239" s="65">
        <f t="shared" si="232"/>
        <v>74880</v>
      </c>
      <c r="K239" s="65">
        <f t="shared" si="233"/>
        <v>0</v>
      </c>
      <c r="L239" s="65">
        <f t="shared" si="234"/>
        <v>74880</v>
      </c>
      <c r="M239" s="74" t="s">
        <v>1658</v>
      </c>
      <c r="N239" s="19"/>
      <c r="Z239" s="35">
        <f t="shared" si="235"/>
        <v>0</v>
      </c>
      <c r="AB239" s="35">
        <f t="shared" si="236"/>
        <v>0</v>
      </c>
      <c r="AC239" s="35">
        <f t="shared" si="237"/>
        <v>0</v>
      </c>
      <c r="AD239" s="35">
        <f t="shared" si="238"/>
        <v>74880</v>
      </c>
      <c r="AE239" s="35">
        <f t="shared" si="239"/>
        <v>0</v>
      </c>
      <c r="AF239" s="35">
        <f t="shared" si="240"/>
        <v>0</v>
      </c>
      <c r="AG239" s="35">
        <f t="shared" si="241"/>
        <v>0</v>
      </c>
      <c r="AH239" s="35">
        <f t="shared" si="242"/>
        <v>0</v>
      </c>
      <c r="AI239" s="77" t="s">
        <v>61</v>
      </c>
      <c r="AJ239" s="65">
        <f t="shared" si="243"/>
        <v>0</v>
      </c>
      <c r="AK239" s="65">
        <f t="shared" si="244"/>
        <v>0</v>
      </c>
      <c r="AL239" s="65">
        <f t="shared" si="245"/>
        <v>74880</v>
      </c>
      <c r="AN239" s="35">
        <v>21</v>
      </c>
      <c r="AO239" s="35">
        <f>I239*1</f>
        <v>1872</v>
      </c>
      <c r="AP239" s="35">
        <f>I239*(1-1)</f>
        <v>0</v>
      </c>
      <c r="AQ239" s="79" t="s">
        <v>235</v>
      </c>
      <c r="AV239" s="35">
        <f t="shared" si="246"/>
        <v>74880</v>
      </c>
      <c r="AW239" s="35">
        <f t="shared" si="247"/>
        <v>74880</v>
      </c>
      <c r="AX239" s="35">
        <f t="shared" si="248"/>
        <v>0</v>
      </c>
      <c r="AY239" s="80" t="s">
        <v>1691</v>
      </c>
      <c r="AZ239" s="80" t="s">
        <v>1734</v>
      </c>
      <c r="BA239" s="77" t="s">
        <v>1774</v>
      </c>
      <c r="BC239" s="35">
        <f t="shared" si="249"/>
        <v>74880</v>
      </c>
      <c r="BD239" s="35">
        <f t="shared" si="250"/>
        <v>1872</v>
      </c>
      <c r="BE239" s="35">
        <v>0</v>
      </c>
      <c r="BF239" s="35">
        <f>239</f>
        <v>239</v>
      </c>
      <c r="BH239" s="65">
        <f t="shared" si="251"/>
        <v>74880</v>
      </c>
      <c r="BI239" s="65">
        <f t="shared" si="252"/>
        <v>0</v>
      </c>
      <c r="BJ239" s="65">
        <f t="shared" si="253"/>
        <v>74880</v>
      </c>
      <c r="BK239" s="65" t="s">
        <v>1642</v>
      </c>
      <c r="BL239" s="35">
        <v>766</v>
      </c>
    </row>
    <row r="240" spans="1:64">
      <c r="A240" s="47" t="s">
        <v>362</v>
      </c>
      <c r="B240" s="55" t="s">
        <v>61</v>
      </c>
      <c r="C240" s="55" t="s">
        <v>873</v>
      </c>
      <c r="D240" s="165" t="s">
        <v>1283</v>
      </c>
      <c r="E240" s="166"/>
      <c r="F240" s="166"/>
      <c r="G240" s="55" t="s">
        <v>1631</v>
      </c>
      <c r="H240" s="64">
        <v>13</v>
      </c>
      <c r="I240" s="64">
        <v>991</v>
      </c>
      <c r="J240" s="64">
        <f t="shared" si="232"/>
        <v>0</v>
      </c>
      <c r="K240" s="64">
        <f t="shared" si="233"/>
        <v>12883</v>
      </c>
      <c r="L240" s="64">
        <f t="shared" si="234"/>
        <v>12883</v>
      </c>
      <c r="M240" s="73" t="s">
        <v>1657</v>
      </c>
      <c r="N240" s="19"/>
      <c r="Z240" s="35">
        <f t="shared" si="235"/>
        <v>0</v>
      </c>
      <c r="AB240" s="35">
        <f t="shared" si="236"/>
        <v>0</v>
      </c>
      <c r="AC240" s="35">
        <f t="shared" si="237"/>
        <v>0</v>
      </c>
      <c r="AD240" s="35">
        <f t="shared" si="238"/>
        <v>0</v>
      </c>
      <c r="AE240" s="35">
        <f t="shared" si="239"/>
        <v>12883</v>
      </c>
      <c r="AF240" s="35">
        <f t="shared" si="240"/>
        <v>0</v>
      </c>
      <c r="AG240" s="35">
        <f t="shared" si="241"/>
        <v>0</v>
      </c>
      <c r="AH240" s="35">
        <f t="shared" si="242"/>
        <v>0</v>
      </c>
      <c r="AI240" s="77" t="s">
        <v>61</v>
      </c>
      <c r="AJ240" s="64">
        <f t="shared" si="243"/>
        <v>0</v>
      </c>
      <c r="AK240" s="64">
        <f t="shared" si="244"/>
        <v>0</v>
      </c>
      <c r="AL240" s="64">
        <f t="shared" si="245"/>
        <v>12883</v>
      </c>
      <c r="AN240" s="35">
        <v>21</v>
      </c>
      <c r="AO240" s="35">
        <f>I240*0</f>
        <v>0</v>
      </c>
      <c r="AP240" s="35">
        <f>I240*(1-0)</f>
        <v>991</v>
      </c>
      <c r="AQ240" s="78" t="s">
        <v>235</v>
      </c>
      <c r="AV240" s="35">
        <f t="shared" si="246"/>
        <v>12883</v>
      </c>
      <c r="AW240" s="35">
        <f t="shared" si="247"/>
        <v>0</v>
      </c>
      <c r="AX240" s="35">
        <f t="shared" si="248"/>
        <v>12883</v>
      </c>
      <c r="AY240" s="80" t="s">
        <v>1691</v>
      </c>
      <c r="AZ240" s="80" t="s">
        <v>1734</v>
      </c>
      <c r="BA240" s="77" t="s">
        <v>1774</v>
      </c>
      <c r="BC240" s="35">
        <f t="shared" si="249"/>
        <v>12883</v>
      </c>
      <c r="BD240" s="35">
        <f t="shared" si="250"/>
        <v>991</v>
      </c>
      <c r="BE240" s="35">
        <v>0</v>
      </c>
      <c r="BF240" s="35">
        <f>240</f>
        <v>240</v>
      </c>
      <c r="BH240" s="64">
        <f t="shared" si="251"/>
        <v>0</v>
      </c>
      <c r="BI240" s="64">
        <f t="shared" si="252"/>
        <v>12883</v>
      </c>
      <c r="BJ240" s="64">
        <f t="shared" si="253"/>
        <v>12883</v>
      </c>
      <c r="BK240" s="64" t="s">
        <v>1790</v>
      </c>
      <c r="BL240" s="35">
        <v>766</v>
      </c>
    </row>
    <row r="241" spans="1:64">
      <c r="A241" s="48" t="s">
        <v>363</v>
      </c>
      <c r="B241" s="56" t="s">
        <v>61</v>
      </c>
      <c r="C241" s="56" t="s">
        <v>874</v>
      </c>
      <c r="D241" s="170" t="s">
        <v>1284</v>
      </c>
      <c r="E241" s="171"/>
      <c r="F241" s="171"/>
      <c r="G241" s="56" t="s">
        <v>1636</v>
      </c>
      <c r="H241" s="65">
        <v>8</v>
      </c>
      <c r="I241" s="65">
        <v>7488</v>
      </c>
      <c r="J241" s="65">
        <f t="shared" si="232"/>
        <v>59904</v>
      </c>
      <c r="K241" s="65">
        <f t="shared" si="233"/>
        <v>0</v>
      </c>
      <c r="L241" s="65">
        <f t="shared" si="234"/>
        <v>59904</v>
      </c>
      <c r="M241" s="74" t="s">
        <v>1658</v>
      </c>
      <c r="N241" s="19"/>
      <c r="Z241" s="35">
        <f t="shared" si="235"/>
        <v>0</v>
      </c>
      <c r="AB241" s="35">
        <f t="shared" si="236"/>
        <v>0</v>
      </c>
      <c r="AC241" s="35">
        <f t="shared" si="237"/>
        <v>0</v>
      </c>
      <c r="AD241" s="35">
        <f t="shared" si="238"/>
        <v>59904</v>
      </c>
      <c r="AE241" s="35">
        <f t="shared" si="239"/>
        <v>0</v>
      </c>
      <c r="AF241" s="35">
        <f t="shared" si="240"/>
        <v>0</v>
      </c>
      <c r="AG241" s="35">
        <f t="shared" si="241"/>
        <v>0</v>
      </c>
      <c r="AH241" s="35">
        <f t="shared" si="242"/>
        <v>0</v>
      </c>
      <c r="AI241" s="77" t="s">
        <v>61</v>
      </c>
      <c r="AJ241" s="65">
        <f t="shared" si="243"/>
        <v>0</v>
      </c>
      <c r="AK241" s="65">
        <f t="shared" si="244"/>
        <v>0</v>
      </c>
      <c r="AL241" s="65">
        <f t="shared" si="245"/>
        <v>59904</v>
      </c>
      <c r="AN241" s="35">
        <v>21</v>
      </c>
      <c r="AO241" s="35">
        <f>I241*1</f>
        <v>7488</v>
      </c>
      <c r="AP241" s="35">
        <f>I241*(1-1)</f>
        <v>0</v>
      </c>
      <c r="AQ241" s="79" t="s">
        <v>235</v>
      </c>
      <c r="AV241" s="35">
        <f t="shared" si="246"/>
        <v>59904</v>
      </c>
      <c r="AW241" s="35">
        <f t="shared" si="247"/>
        <v>59904</v>
      </c>
      <c r="AX241" s="35">
        <f t="shared" si="248"/>
        <v>0</v>
      </c>
      <c r="AY241" s="80" t="s">
        <v>1691</v>
      </c>
      <c r="AZ241" s="80" t="s">
        <v>1734</v>
      </c>
      <c r="BA241" s="77" t="s">
        <v>1774</v>
      </c>
      <c r="BC241" s="35">
        <f t="shared" si="249"/>
        <v>59904</v>
      </c>
      <c r="BD241" s="35">
        <f t="shared" si="250"/>
        <v>7488</v>
      </c>
      <c r="BE241" s="35">
        <v>0</v>
      </c>
      <c r="BF241" s="35">
        <f>241</f>
        <v>241</v>
      </c>
      <c r="BH241" s="65">
        <f t="shared" si="251"/>
        <v>59904</v>
      </c>
      <c r="BI241" s="65">
        <f t="shared" si="252"/>
        <v>0</v>
      </c>
      <c r="BJ241" s="65">
        <f t="shared" si="253"/>
        <v>59904</v>
      </c>
      <c r="BK241" s="65" t="s">
        <v>1642</v>
      </c>
      <c r="BL241" s="35">
        <v>766</v>
      </c>
    </row>
    <row r="242" spans="1:64">
      <c r="A242" s="48" t="s">
        <v>364</v>
      </c>
      <c r="B242" s="56" t="s">
        <v>61</v>
      </c>
      <c r="C242" s="56" t="s">
        <v>875</v>
      </c>
      <c r="D242" s="170" t="s">
        <v>1285</v>
      </c>
      <c r="E242" s="171"/>
      <c r="F242" s="171"/>
      <c r="G242" s="56" t="s">
        <v>1636</v>
      </c>
      <c r="H242" s="65">
        <v>4</v>
      </c>
      <c r="I242" s="65">
        <v>7128</v>
      </c>
      <c r="J242" s="65">
        <f t="shared" si="232"/>
        <v>28512</v>
      </c>
      <c r="K242" s="65">
        <f t="shared" si="233"/>
        <v>0</v>
      </c>
      <c r="L242" s="65">
        <f t="shared" si="234"/>
        <v>28512</v>
      </c>
      <c r="M242" s="74" t="s">
        <v>1658</v>
      </c>
      <c r="N242" s="19"/>
      <c r="Z242" s="35">
        <f t="shared" si="235"/>
        <v>0</v>
      </c>
      <c r="AB242" s="35">
        <f t="shared" si="236"/>
        <v>0</v>
      </c>
      <c r="AC242" s="35">
        <f t="shared" si="237"/>
        <v>0</v>
      </c>
      <c r="AD242" s="35">
        <f t="shared" si="238"/>
        <v>28512</v>
      </c>
      <c r="AE242" s="35">
        <f t="shared" si="239"/>
        <v>0</v>
      </c>
      <c r="AF242" s="35">
        <f t="shared" si="240"/>
        <v>0</v>
      </c>
      <c r="AG242" s="35">
        <f t="shared" si="241"/>
        <v>0</v>
      </c>
      <c r="AH242" s="35">
        <f t="shared" si="242"/>
        <v>0</v>
      </c>
      <c r="AI242" s="77" t="s">
        <v>61</v>
      </c>
      <c r="AJ242" s="65">
        <f t="shared" si="243"/>
        <v>0</v>
      </c>
      <c r="AK242" s="65">
        <f t="shared" si="244"/>
        <v>0</v>
      </c>
      <c r="AL242" s="65">
        <f t="shared" si="245"/>
        <v>28512</v>
      </c>
      <c r="AN242" s="35">
        <v>21</v>
      </c>
      <c r="AO242" s="35">
        <f>I242*1</f>
        <v>7128</v>
      </c>
      <c r="AP242" s="35">
        <f>I242*(1-1)</f>
        <v>0</v>
      </c>
      <c r="AQ242" s="79" t="s">
        <v>235</v>
      </c>
      <c r="AV242" s="35">
        <f t="shared" si="246"/>
        <v>28512</v>
      </c>
      <c r="AW242" s="35">
        <f t="shared" si="247"/>
        <v>28512</v>
      </c>
      <c r="AX242" s="35">
        <f t="shared" si="248"/>
        <v>0</v>
      </c>
      <c r="AY242" s="80" t="s">
        <v>1691</v>
      </c>
      <c r="AZ242" s="80" t="s">
        <v>1734</v>
      </c>
      <c r="BA242" s="77" t="s">
        <v>1774</v>
      </c>
      <c r="BC242" s="35">
        <f t="shared" si="249"/>
        <v>28512</v>
      </c>
      <c r="BD242" s="35">
        <f t="shared" si="250"/>
        <v>7128</v>
      </c>
      <c r="BE242" s="35">
        <v>0</v>
      </c>
      <c r="BF242" s="35">
        <f>242</f>
        <v>242</v>
      </c>
      <c r="BH242" s="65">
        <f t="shared" si="251"/>
        <v>28512</v>
      </c>
      <c r="BI242" s="65">
        <f t="shared" si="252"/>
        <v>0</v>
      </c>
      <c r="BJ242" s="65">
        <f t="shared" si="253"/>
        <v>28512</v>
      </c>
      <c r="BK242" s="65" t="s">
        <v>1642</v>
      </c>
      <c r="BL242" s="35">
        <v>766</v>
      </c>
    </row>
    <row r="243" spans="1:64">
      <c r="A243" s="48" t="s">
        <v>365</v>
      </c>
      <c r="B243" s="56" t="s">
        <v>61</v>
      </c>
      <c r="C243" s="56" t="s">
        <v>876</v>
      </c>
      <c r="D243" s="170" t="s">
        <v>1286</v>
      </c>
      <c r="E243" s="171"/>
      <c r="F243" s="171"/>
      <c r="G243" s="56" t="s">
        <v>1636</v>
      </c>
      <c r="H243" s="65">
        <v>1</v>
      </c>
      <c r="I243" s="65">
        <v>5760</v>
      </c>
      <c r="J243" s="65">
        <f t="shared" si="232"/>
        <v>5760</v>
      </c>
      <c r="K243" s="65">
        <f t="shared" si="233"/>
        <v>0</v>
      </c>
      <c r="L243" s="65">
        <f t="shared" si="234"/>
        <v>5760</v>
      </c>
      <c r="M243" s="74" t="s">
        <v>1658</v>
      </c>
      <c r="N243" s="19"/>
      <c r="Z243" s="35">
        <f t="shared" si="235"/>
        <v>0</v>
      </c>
      <c r="AB243" s="35">
        <f t="shared" si="236"/>
        <v>0</v>
      </c>
      <c r="AC243" s="35">
        <f t="shared" si="237"/>
        <v>0</v>
      </c>
      <c r="AD243" s="35">
        <f t="shared" si="238"/>
        <v>5760</v>
      </c>
      <c r="AE243" s="35">
        <f t="shared" si="239"/>
        <v>0</v>
      </c>
      <c r="AF243" s="35">
        <f t="shared" si="240"/>
        <v>0</v>
      </c>
      <c r="AG243" s="35">
        <f t="shared" si="241"/>
        <v>0</v>
      </c>
      <c r="AH243" s="35">
        <f t="shared" si="242"/>
        <v>0</v>
      </c>
      <c r="AI243" s="77" t="s">
        <v>61</v>
      </c>
      <c r="AJ243" s="65">
        <f t="shared" si="243"/>
        <v>0</v>
      </c>
      <c r="AK243" s="65">
        <f t="shared" si="244"/>
        <v>0</v>
      </c>
      <c r="AL243" s="65">
        <f t="shared" si="245"/>
        <v>5760</v>
      </c>
      <c r="AN243" s="35">
        <v>21</v>
      </c>
      <c r="AO243" s="35">
        <f>I243*1</f>
        <v>5760</v>
      </c>
      <c r="AP243" s="35">
        <f>I243*(1-1)</f>
        <v>0</v>
      </c>
      <c r="AQ243" s="79" t="s">
        <v>235</v>
      </c>
      <c r="AV243" s="35">
        <f t="shared" si="246"/>
        <v>5760</v>
      </c>
      <c r="AW243" s="35">
        <f t="shared" si="247"/>
        <v>5760</v>
      </c>
      <c r="AX243" s="35">
        <f t="shared" si="248"/>
        <v>0</v>
      </c>
      <c r="AY243" s="80" t="s">
        <v>1691</v>
      </c>
      <c r="AZ243" s="80" t="s">
        <v>1734</v>
      </c>
      <c r="BA243" s="77" t="s">
        <v>1774</v>
      </c>
      <c r="BC243" s="35">
        <f t="shared" si="249"/>
        <v>5760</v>
      </c>
      <c r="BD243" s="35">
        <f t="shared" si="250"/>
        <v>5760</v>
      </c>
      <c r="BE243" s="35">
        <v>0</v>
      </c>
      <c r="BF243" s="35">
        <f>243</f>
        <v>243</v>
      </c>
      <c r="BH243" s="65">
        <f t="shared" si="251"/>
        <v>5760</v>
      </c>
      <c r="BI243" s="65">
        <f t="shared" si="252"/>
        <v>0</v>
      </c>
      <c r="BJ243" s="65">
        <f t="shared" si="253"/>
        <v>5760</v>
      </c>
      <c r="BK243" s="65" t="s">
        <v>1642</v>
      </c>
      <c r="BL243" s="35">
        <v>766</v>
      </c>
    </row>
    <row r="244" spans="1:64">
      <c r="A244" s="47" t="s">
        <v>366</v>
      </c>
      <c r="B244" s="55" t="s">
        <v>61</v>
      </c>
      <c r="C244" s="55" t="s">
        <v>877</v>
      </c>
      <c r="D244" s="165" t="s">
        <v>1287</v>
      </c>
      <c r="E244" s="166"/>
      <c r="F244" s="166"/>
      <c r="G244" s="55" t="s">
        <v>1631</v>
      </c>
      <c r="H244" s="64">
        <v>28</v>
      </c>
      <c r="I244" s="64">
        <v>1128</v>
      </c>
      <c r="J244" s="64">
        <f t="shared" si="232"/>
        <v>0</v>
      </c>
      <c r="K244" s="64">
        <f t="shared" si="233"/>
        <v>31584</v>
      </c>
      <c r="L244" s="64">
        <f t="shared" si="234"/>
        <v>31584</v>
      </c>
      <c r="M244" s="73" t="s">
        <v>1657</v>
      </c>
      <c r="N244" s="19"/>
      <c r="Z244" s="35">
        <f t="shared" si="235"/>
        <v>0</v>
      </c>
      <c r="AB244" s="35">
        <f t="shared" si="236"/>
        <v>0</v>
      </c>
      <c r="AC244" s="35">
        <f t="shared" si="237"/>
        <v>0</v>
      </c>
      <c r="AD244" s="35">
        <f t="shared" si="238"/>
        <v>0</v>
      </c>
      <c r="AE244" s="35">
        <f t="shared" si="239"/>
        <v>31584</v>
      </c>
      <c r="AF244" s="35">
        <f t="shared" si="240"/>
        <v>0</v>
      </c>
      <c r="AG244" s="35">
        <f t="shared" si="241"/>
        <v>0</v>
      </c>
      <c r="AH244" s="35">
        <f t="shared" si="242"/>
        <v>0</v>
      </c>
      <c r="AI244" s="77" t="s">
        <v>61</v>
      </c>
      <c r="AJ244" s="64">
        <f t="shared" si="243"/>
        <v>0</v>
      </c>
      <c r="AK244" s="64">
        <f t="shared" si="244"/>
        <v>0</v>
      </c>
      <c r="AL244" s="64">
        <f t="shared" si="245"/>
        <v>31584</v>
      </c>
      <c r="AN244" s="35">
        <v>21</v>
      </c>
      <c r="AO244" s="35">
        <f>I244*0</f>
        <v>0</v>
      </c>
      <c r="AP244" s="35">
        <f>I244*(1-0)</f>
        <v>1128</v>
      </c>
      <c r="AQ244" s="78" t="s">
        <v>235</v>
      </c>
      <c r="AV244" s="35">
        <f t="shared" si="246"/>
        <v>31584</v>
      </c>
      <c r="AW244" s="35">
        <f t="shared" si="247"/>
        <v>0</v>
      </c>
      <c r="AX244" s="35">
        <f t="shared" si="248"/>
        <v>31584</v>
      </c>
      <c r="AY244" s="80" t="s">
        <v>1691</v>
      </c>
      <c r="AZ244" s="80" t="s">
        <v>1734</v>
      </c>
      <c r="BA244" s="77" t="s">
        <v>1774</v>
      </c>
      <c r="BC244" s="35">
        <f t="shared" si="249"/>
        <v>31584</v>
      </c>
      <c r="BD244" s="35">
        <f t="shared" si="250"/>
        <v>1128</v>
      </c>
      <c r="BE244" s="35">
        <v>0</v>
      </c>
      <c r="BF244" s="35">
        <f>244</f>
        <v>244</v>
      </c>
      <c r="BH244" s="64">
        <f t="shared" si="251"/>
        <v>0</v>
      </c>
      <c r="BI244" s="64">
        <f t="shared" si="252"/>
        <v>31584</v>
      </c>
      <c r="BJ244" s="64">
        <f t="shared" si="253"/>
        <v>31584</v>
      </c>
      <c r="BK244" s="64" t="s">
        <v>1790</v>
      </c>
      <c r="BL244" s="35">
        <v>766</v>
      </c>
    </row>
    <row r="245" spans="1:64">
      <c r="A245" s="48" t="s">
        <v>367</v>
      </c>
      <c r="B245" s="56" t="s">
        <v>61</v>
      </c>
      <c r="C245" s="56" t="s">
        <v>878</v>
      </c>
      <c r="D245" s="170" t="s">
        <v>1288</v>
      </c>
      <c r="E245" s="171"/>
      <c r="F245" s="171"/>
      <c r="G245" s="56" t="s">
        <v>1636</v>
      </c>
      <c r="H245" s="65">
        <v>4</v>
      </c>
      <c r="I245" s="65">
        <v>25560</v>
      </c>
      <c r="J245" s="65">
        <f t="shared" si="232"/>
        <v>102240</v>
      </c>
      <c r="K245" s="65">
        <f t="shared" si="233"/>
        <v>0</v>
      </c>
      <c r="L245" s="65">
        <f t="shared" si="234"/>
        <v>102240</v>
      </c>
      <c r="M245" s="74" t="s">
        <v>1658</v>
      </c>
      <c r="N245" s="19"/>
      <c r="Z245" s="35">
        <f t="shared" si="235"/>
        <v>0</v>
      </c>
      <c r="AB245" s="35">
        <f t="shared" si="236"/>
        <v>0</v>
      </c>
      <c r="AC245" s="35">
        <f t="shared" si="237"/>
        <v>0</v>
      </c>
      <c r="AD245" s="35">
        <f t="shared" si="238"/>
        <v>102240</v>
      </c>
      <c r="AE245" s="35">
        <f t="shared" si="239"/>
        <v>0</v>
      </c>
      <c r="AF245" s="35">
        <f t="shared" si="240"/>
        <v>0</v>
      </c>
      <c r="AG245" s="35">
        <f t="shared" si="241"/>
        <v>0</v>
      </c>
      <c r="AH245" s="35">
        <f t="shared" si="242"/>
        <v>0</v>
      </c>
      <c r="AI245" s="77" t="s">
        <v>61</v>
      </c>
      <c r="AJ245" s="65">
        <f t="shared" si="243"/>
        <v>0</v>
      </c>
      <c r="AK245" s="65">
        <f t="shared" si="244"/>
        <v>0</v>
      </c>
      <c r="AL245" s="65">
        <f t="shared" si="245"/>
        <v>102240</v>
      </c>
      <c r="AN245" s="35">
        <v>21</v>
      </c>
      <c r="AO245" s="35">
        <f>I245*1</f>
        <v>25560</v>
      </c>
      <c r="AP245" s="35">
        <f>I245*(1-1)</f>
        <v>0</v>
      </c>
      <c r="AQ245" s="79" t="s">
        <v>235</v>
      </c>
      <c r="AV245" s="35">
        <f t="shared" si="246"/>
        <v>102240</v>
      </c>
      <c r="AW245" s="35">
        <f t="shared" si="247"/>
        <v>102240</v>
      </c>
      <c r="AX245" s="35">
        <f t="shared" si="248"/>
        <v>0</v>
      </c>
      <c r="AY245" s="80" t="s">
        <v>1691</v>
      </c>
      <c r="AZ245" s="80" t="s">
        <v>1734</v>
      </c>
      <c r="BA245" s="77" t="s">
        <v>1774</v>
      </c>
      <c r="BC245" s="35">
        <f t="shared" si="249"/>
        <v>102240</v>
      </c>
      <c r="BD245" s="35">
        <f t="shared" si="250"/>
        <v>25560</v>
      </c>
      <c r="BE245" s="35">
        <v>0</v>
      </c>
      <c r="BF245" s="35">
        <f>245</f>
        <v>245</v>
      </c>
      <c r="BH245" s="65">
        <f t="shared" si="251"/>
        <v>102240</v>
      </c>
      <c r="BI245" s="65">
        <f t="shared" si="252"/>
        <v>0</v>
      </c>
      <c r="BJ245" s="65">
        <f t="shared" si="253"/>
        <v>102240</v>
      </c>
      <c r="BK245" s="65" t="s">
        <v>1642</v>
      </c>
      <c r="BL245" s="35">
        <v>766</v>
      </c>
    </row>
    <row r="246" spans="1:64">
      <c r="A246" s="48" t="s">
        <v>368</v>
      </c>
      <c r="B246" s="56" t="s">
        <v>61</v>
      </c>
      <c r="C246" s="56" t="s">
        <v>879</v>
      </c>
      <c r="D246" s="170" t="s">
        <v>1289</v>
      </c>
      <c r="E246" s="171"/>
      <c r="F246" s="171"/>
      <c r="G246" s="56" t="s">
        <v>1636</v>
      </c>
      <c r="H246" s="65">
        <v>4</v>
      </c>
      <c r="I246" s="65">
        <v>33048</v>
      </c>
      <c r="J246" s="65">
        <f t="shared" si="232"/>
        <v>132192</v>
      </c>
      <c r="K246" s="65">
        <f t="shared" si="233"/>
        <v>0</v>
      </c>
      <c r="L246" s="65">
        <f t="shared" si="234"/>
        <v>132192</v>
      </c>
      <c r="M246" s="74" t="s">
        <v>1658</v>
      </c>
      <c r="N246" s="19"/>
      <c r="Z246" s="35">
        <f t="shared" si="235"/>
        <v>0</v>
      </c>
      <c r="AB246" s="35">
        <f t="shared" si="236"/>
        <v>0</v>
      </c>
      <c r="AC246" s="35">
        <f t="shared" si="237"/>
        <v>0</v>
      </c>
      <c r="AD246" s="35">
        <f t="shared" si="238"/>
        <v>132192</v>
      </c>
      <c r="AE246" s="35">
        <f t="shared" si="239"/>
        <v>0</v>
      </c>
      <c r="AF246" s="35">
        <f t="shared" si="240"/>
        <v>0</v>
      </c>
      <c r="AG246" s="35">
        <f t="shared" si="241"/>
        <v>0</v>
      </c>
      <c r="AH246" s="35">
        <f t="shared" si="242"/>
        <v>0</v>
      </c>
      <c r="AI246" s="77" t="s">
        <v>61</v>
      </c>
      <c r="AJ246" s="65">
        <f t="shared" si="243"/>
        <v>0</v>
      </c>
      <c r="AK246" s="65">
        <f t="shared" si="244"/>
        <v>0</v>
      </c>
      <c r="AL246" s="65">
        <f t="shared" si="245"/>
        <v>132192</v>
      </c>
      <c r="AN246" s="35">
        <v>21</v>
      </c>
      <c r="AO246" s="35">
        <f>I246*1</f>
        <v>33048</v>
      </c>
      <c r="AP246" s="35">
        <f>I246*(1-1)</f>
        <v>0</v>
      </c>
      <c r="AQ246" s="79" t="s">
        <v>235</v>
      </c>
      <c r="AV246" s="35">
        <f t="shared" si="246"/>
        <v>132192</v>
      </c>
      <c r="AW246" s="35">
        <f t="shared" si="247"/>
        <v>132192</v>
      </c>
      <c r="AX246" s="35">
        <f t="shared" si="248"/>
        <v>0</v>
      </c>
      <c r="AY246" s="80" t="s">
        <v>1691</v>
      </c>
      <c r="AZ246" s="80" t="s">
        <v>1734</v>
      </c>
      <c r="BA246" s="77" t="s">
        <v>1774</v>
      </c>
      <c r="BC246" s="35">
        <f t="shared" si="249"/>
        <v>132192</v>
      </c>
      <c r="BD246" s="35">
        <f t="shared" si="250"/>
        <v>33048</v>
      </c>
      <c r="BE246" s="35">
        <v>0</v>
      </c>
      <c r="BF246" s="35">
        <f>246</f>
        <v>246</v>
      </c>
      <c r="BH246" s="65">
        <f t="shared" si="251"/>
        <v>132192</v>
      </c>
      <c r="BI246" s="65">
        <f t="shared" si="252"/>
        <v>0</v>
      </c>
      <c r="BJ246" s="65">
        <f t="shared" si="253"/>
        <v>132192</v>
      </c>
      <c r="BK246" s="65" t="s">
        <v>1642</v>
      </c>
      <c r="BL246" s="35">
        <v>766</v>
      </c>
    </row>
    <row r="247" spans="1:64">
      <c r="A247" s="47" t="s">
        <v>369</v>
      </c>
      <c r="B247" s="55" t="s">
        <v>61</v>
      </c>
      <c r="C247" s="55" t="s">
        <v>880</v>
      </c>
      <c r="D247" s="165" t="s">
        <v>1290</v>
      </c>
      <c r="E247" s="166"/>
      <c r="F247" s="166"/>
      <c r="G247" s="55" t="s">
        <v>1631</v>
      </c>
      <c r="H247" s="64">
        <v>4</v>
      </c>
      <c r="I247" s="64">
        <v>1158</v>
      </c>
      <c r="J247" s="64">
        <f t="shared" si="232"/>
        <v>0</v>
      </c>
      <c r="K247" s="64">
        <f t="shared" si="233"/>
        <v>4632</v>
      </c>
      <c r="L247" s="64">
        <f t="shared" si="234"/>
        <v>4632</v>
      </c>
      <c r="M247" s="73" t="s">
        <v>1657</v>
      </c>
      <c r="N247" s="19"/>
      <c r="Z247" s="35">
        <f t="shared" si="235"/>
        <v>0</v>
      </c>
      <c r="AB247" s="35">
        <f t="shared" si="236"/>
        <v>0</v>
      </c>
      <c r="AC247" s="35">
        <f t="shared" si="237"/>
        <v>0</v>
      </c>
      <c r="AD247" s="35">
        <f t="shared" si="238"/>
        <v>0</v>
      </c>
      <c r="AE247" s="35">
        <f t="shared" si="239"/>
        <v>4632</v>
      </c>
      <c r="AF247" s="35">
        <f t="shared" si="240"/>
        <v>0</v>
      </c>
      <c r="AG247" s="35">
        <f t="shared" si="241"/>
        <v>0</v>
      </c>
      <c r="AH247" s="35">
        <f t="shared" si="242"/>
        <v>0</v>
      </c>
      <c r="AI247" s="77" t="s">
        <v>61</v>
      </c>
      <c r="AJ247" s="64">
        <f t="shared" si="243"/>
        <v>0</v>
      </c>
      <c r="AK247" s="64">
        <f t="shared" si="244"/>
        <v>0</v>
      </c>
      <c r="AL247" s="64">
        <f t="shared" si="245"/>
        <v>4632</v>
      </c>
      <c r="AN247" s="35">
        <v>21</v>
      </c>
      <c r="AO247" s="35">
        <f>I247*0</f>
        <v>0</v>
      </c>
      <c r="AP247" s="35">
        <f>I247*(1-0)</f>
        <v>1158</v>
      </c>
      <c r="AQ247" s="78" t="s">
        <v>235</v>
      </c>
      <c r="AV247" s="35">
        <f t="shared" si="246"/>
        <v>4632</v>
      </c>
      <c r="AW247" s="35">
        <f t="shared" si="247"/>
        <v>0</v>
      </c>
      <c r="AX247" s="35">
        <f t="shared" si="248"/>
        <v>4632</v>
      </c>
      <c r="AY247" s="80" t="s">
        <v>1691</v>
      </c>
      <c r="AZ247" s="80" t="s">
        <v>1734</v>
      </c>
      <c r="BA247" s="77" t="s">
        <v>1774</v>
      </c>
      <c r="BC247" s="35">
        <f t="shared" si="249"/>
        <v>4632</v>
      </c>
      <c r="BD247" s="35">
        <f t="shared" si="250"/>
        <v>1158</v>
      </c>
      <c r="BE247" s="35">
        <v>0</v>
      </c>
      <c r="BF247" s="35">
        <f>247</f>
        <v>247</v>
      </c>
      <c r="BH247" s="64">
        <f t="shared" si="251"/>
        <v>0</v>
      </c>
      <c r="BI247" s="64">
        <f t="shared" si="252"/>
        <v>4632</v>
      </c>
      <c r="BJ247" s="64">
        <f t="shared" si="253"/>
        <v>4632</v>
      </c>
      <c r="BK247" s="64" t="s">
        <v>1790</v>
      </c>
      <c r="BL247" s="35">
        <v>766</v>
      </c>
    </row>
    <row r="248" spans="1:64">
      <c r="A248" s="48" t="s">
        <v>370</v>
      </c>
      <c r="B248" s="56" t="s">
        <v>61</v>
      </c>
      <c r="C248" s="56" t="s">
        <v>881</v>
      </c>
      <c r="D248" s="170" t="s">
        <v>1291</v>
      </c>
      <c r="E248" s="171"/>
      <c r="F248" s="171"/>
      <c r="G248" s="56" t="s">
        <v>1636</v>
      </c>
      <c r="H248" s="65">
        <v>4</v>
      </c>
      <c r="I248" s="65">
        <v>28944</v>
      </c>
      <c r="J248" s="65">
        <f t="shared" si="232"/>
        <v>115776</v>
      </c>
      <c r="K248" s="65">
        <f t="shared" si="233"/>
        <v>0</v>
      </c>
      <c r="L248" s="65">
        <f t="shared" si="234"/>
        <v>115776</v>
      </c>
      <c r="M248" s="74" t="s">
        <v>1658</v>
      </c>
      <c r="N248" s="19"/>
      <c r="Z248" s="35">
        <f t="shared" si="235"/>
        <v>0</v>
      </c>
      <c r="AB248" s="35">
        <f t="shared" si="236"/>
        <v>0</v>
      </c>
      <c r="AC248" s="35">
        <f t="shared" si="237"/>
        <v>0</v>
      </c>
      <c r="AD248" s="35">
        <f t="shared" si="238"/>
        <v>115776</v>
      </c>
      <c r="AE248" s="35">
        <f t="shared" si="239"/>
        <v>0</v>
      </c>
      <c r="AF248" s="35">
        <f t="shared" si="240"/>
        <v>0</v>
      </c>
      <c r="AG248" s="35">
        <f t="shared" si="241"/>
        <v>0</v>
      </c>
      <c r="AH248" s="35">
        <f t="shared" si="242"/>
        <v>0</v>
      </c>
      <c r="AI248" s="77" t="s">
        <v>61</v>
      </c>
      <c r="AJ248" s="65">
        <f t="shared" si="243"/>
        <v>0</v>
      </c>
      <c r="AK248" s="65">
        <f t="shared" si="244"/>
        <v>0</v>
      </c>
      <c r="AL248" s="65">
        <f t="shared" si="245"/>
        <v>115776</v>
      </c>
      <c r="AN248" s="35">
        <v>21</v>
      </c>
      <c r="AO248" s="35">
        <f>I248*1</f>
        <v>28944</v>
      </c>
      <c r="AP248" s="35">
        <f>I248*(1-1)</f>
        <v>0</v>
      </c>
      <c r="AQ248" s="79" t="s">
        <v>235</v>
      </c>
      <c r="AV248" s="35">
        <f t="shared" si="246"/>
        <v>115776</v>
      </c>
      <c r="AW248" s="35">
        <f t="shared" si="247"/>
        <v>115776</v>
      </c>
      <c r="AX248" s="35">
        <f t="shared" si="248"/>
        <v>0</v>
      </c>
      <c r="AY248" s="80" t="s">
        <v>1691</v>
      </c>
      <c r="AZ248" s="80" t="s">
        <v>1734</v>
      </c>
      <c r="BA248" s="77" t="s">
        <v>1774</v>
      </c>
      <c r="BC248" s="35">
        <f t="shared" si="249"/>
        <v>115776</v>
      </c>
      <c r="BD248" s="35">
        <f t="shared" si="250"/>
        <v>28944</v>
      </c>
      <c r="BE248" s="35">
        <v>0</v>
      </c>
      <c r="BF248" s="35">
        <f>248</f>
        <v>248</v>
      </c>
      <c r="BH248" s="65">
        <f t="shared" si="251"/>
        <v>115776</v>
      </c>
      <c r="BI248" s="65">
        <f t="shared" si="252"/>
        <v>0</v>
      </c>
      <c r="BJ248" s="65">
        <f t="shared" si="253"/>
        <v>115776</v>
      </c>
      <c r="BK248" s="65" t="s">
        <v>1642</v>
      </c>
      <c r="BL248" s="35">
        <v>766</v>
      </c>
    </row>
    <row r="249" spans="1:64">
      <c r="A249" s="48" t="s">
        <v>371</v>
      </c>
      <c r="B249" s="56" t="s">
        <v>61</v>
      </c>
      <c r="C249" s="56" t="s">
        <v>872</v>
      </c>
      <c r="D249" s="170" t="s">
        <v>1282</v>
      </c>
      <c r="E249" s="171"/>
      <c r="F249" s="171"/>
      <c r="G249" s="56" t="s">
        <v>1636</v>
      </c>
      <c r="H249" s="65">
        <v>4</v>
      </c>
      <c r="I249" s="65">
        <v>1872</v>
      </c>
      <c r="J249" s="65">
        <f t="shared" si="232"/>
        <v>7488</v>
      </c>
      <c r="K249" s="65">
        <f t="shared" si="233"/>
        <v>0</v>
      </c>
      <c r="L249" s="65">
        <f t="shared" si="234"/>
        <v>7488</v>
      </c>
      <c r="M249" s="74" t="s">
        <v>1658</v>
      </c>
      <c r="N249" s="19"/>
      <c r="Z249" s="35">
        <f t="shared" si="235"/>
        <v>0</v>
      </c>
      <c r="AB249" s="35">
        <f t="shared" si="236"/>
        <v>0</v>
      </c>
      <c r="AC249" s="35">
        <f t="shared" si="237"/>
        <v>0</v>
      </c>
      <c r="AD249" s="35">
        <f t="shared" si="238"/>
        <v>7488</v>
      </c>
      <c r="AE249" s="35">
        <f t="shared" si="239"/>
        <v>0</v>
      </c>
      <c r="AF249" s="35">
        <f t="shared" si="240"/>
        <v>0</v>
      </c>
      <c r="AG249" s="35">
        <f t="shared" si="241"/>
        <v>0</v>
      </c>
      <c r="AH249" s="35">
        <f t="shared" si="242"/>
        <v>0</v>
      </c>
      <c r="AI249" s="77" t="s">
        <v>61</v>
      </c>
      <c r="AJ249" s="65">
        <f t="shared" si="243"/>
        <v>0</v>
      </c>
      <c r="AK249" s="65">
        <f t="shared" si="244"/>
        <v>0</v>
      </c>
      <c r="AL249" s="65">
        <f t="shared" si="245"/>
        <v>7488</v>
      </c>
      <c r="AN249" s="35">
        <v>21</v>
      </c>
      <c r="AO249" s="35">
        <f>I249*1</f>
        <v>1872</v>
      </c>
      <c r="AP249" s="35">
        <f>I249*(1-1)</f>
        <v>0</v>
      </c>
      <c r="AQ249" s="79" t="s">
        <v>235</v>
      </c>
      <c r="AV249" s="35">
        <f t="shared" si="246"/>
        <v>7488</v>
      </c>
      <c r="AW249" s="35">
        <f t="shared" si="247"/>
        <v>7488</v>
      </c>
      <c r="AX249" s="35">
        <f t="shared" si="248"/>
        <v>0</v>
      </c>
      <c r="AY249" s="80" t="s">
        <v>1691</v>
      </c>
      <c r="AZ249" s="80" t="s">
        <v>1734</v>
      </c>
      <c r="BA249" s="77" t="s">
        <v>1774</v>
      </c>
      <c r="BC249" s="35">
        <f t="shared" si="249"/>
        <v>7488</v>
      </c>
      <c r="BD249" s="35">
        <f t="shared" si="250"/>
        <v>1872</v>
      </c>
      <c r="BE249" s="35">
        <v>0</v>
      </c>
      <c r="BF249" s="35">
        <f>249</f>
        <v>249</v>
      </c>
      <c r="BH249" s="65">
        <f t="shared" si="251"/>
        <v>7488</v>
      </c>
      <c r="BI249" s="65">
        <f t="shared" si="252"/>
        <v>0</v>
      </c>
      <c r="BJ249" s="65">
        <f t="shared" si="253"/>
        <v>7488</v>
      </c>
      <c r="BK249" s="65" t="s">
        <v>1642</v>
      </c>
      <c r="BL249" s="35">
        <v>766</v>
      </c>
    </row>
    <row r="250" spans="1:64">
      <c r="A250" s="47" t="s">
        <v>372</v>
      </c>
      <c r="B250" s="55" t="s">
        <v>61</v>
      </c>
      <c r="C250" s="55" t="s">
        <v>882</v>
      </c>
      <c r="D250" s="165" t="s">
        <v>1292</v>
      </c>
      <c r="E250" s="166"/>
      <c r="F250" s="166"/>
      <c r="G250" s="55" t="s">
        <v>1631</v>
      </c>
      <c r="H250" s="64">
        <v>42</v>
      </c>
      <c r="I250" s="64">
        <v>130</v>
      </c>
      <c r="J250" s="64">
        <f t="shared" si="232"/>
        <v>0</v>
      </c>
      <c r="K250" s="64">
        <f t="shared" si="233"/>
        <v>5460</v>
      </c>
      <c r="L250" s="64">
        <f t="shared" si="234"/>
        <v>5460</v>
      </c>
      <c r="M250" s="73" t="s">
        <v>1657</v>
      </c>
      <c r="N250" s="19"/>
      <c r="Z250" s="35">
        <f t="shared" si="235"/>
        <v>0</v>
      </c>
      <c r="AB250" s="35">
        <f t="shared" si="236"/>
        <v>0</v>
      </c>
      <c r="AC250" s="35">
        <f t="shared" si="237"/>
        <v>0</v>
      </c>
      <c r="AD250" s="35">
        <f t="shared" si="238"/>
        <v>0</v>
      </c>
      <c r="AE250" s="35">
        <f t="shared" si="239"/>
        <v>5460</v>
      </c>
      <c r="AF250" s="35">
        <f t="shared" si="240"/>
        <v>0</v>
      </c>
      <c r="AG250" s="35">
        <f t="shared" si="241"/>
        <v>0</v>
      </c>
      <c r="AH250" s="35">
        <f t="shared" si="242"/>
        <v>0</v>
      </c>
      <c r="AI250" s="77" t="s">
        <v>61</v>
      </c>
      <c r="AJ250" s="64">
        <f t="shared" si="243"/>
        <v>0</v>
      </c>
      <c r="AK250" s="64">
        <f t="shared" si="244"/>
        <v>0</v>
      </c>
      <c r="AL250" s="64">
        <f t="shared" si="245"/>
        <v>5460</v>
      </c>
      <c r="AN250" s="35">
        <v>21</v>
      </c>
      <c r="AO250" s="35">
        <f>I250*0</f>
        <v>0</v>
      </c>
      <c r="AP250" s="35">
        <f>I250*(1-0)</f>
        <v>130</v>
      </c>
      <c r="AQ250" s="78" t="s">
        <v>235</v>
      </c>
      <c r="AV250" s="35">
        <f t="shared" si="246"/>
        <v>5460</v>
      </c>
      <c r="AW250" s="35">
        <f t="shared" si="247"/>
        <v>0</v>
      </c>
      <c r="AX250" s="35">
        <f t="shared" si="248"/>
        <v>5460</v>
      </c>
      <c r="AY250" s="80" t="s">
        <v>1691</v>
      </c>
      <c r="AZ250" s="80" t="s">
        <v>1734</v>
      </c>
      <c r="BA250" s="77" t="s">
        <v>1774</v>
      </c>
      <c r="BC250" s="35">
        <f t="shared" si="249"/>
        <v>5460</v>
      </c>
      <c r="BD250" s="35">
        <f t="shared" si="250"/>
        <v>130</v>
      </c>
      <c r="BE250" s="35">
        <v>0</v>
      </c>
      <c r="BF250" s="35">
        <f>250</f>
        <v>250</v>
      </c>
      <c r="BH250" s="64">
        <f t="shared" si="251"/>
        <v>0</v>
      </c>
      <c r="BI250" s="64">
        <f t="shared" si="252"/>
        <v>5460</v>
      </c>
      <c r="BJ250" s="64">
        <f t="shared" si="253"/>
        <v>5460</v>
      </c>
      <c r="BK250" s="64" t="s">
        <v>1790</v>
      </c>
      <c r="BL250" s="35">
        <v>766</v>
      </c>
    </row>
    <row r="251" spans="1:64">
      <c r="A251" s="48" t="s">
        <v>373</v>
      </c>
      <c r="B251" s="56" t="s">
        <v>61</v>
      </c>
      <c r="C251" s="56" t="s">
        <v>883</v>
      </c>
      <c r="D251" s="170" t="s">
        <v>1293</v>
      </c>
      <c r="E251" s="171"/>
      <c r="F251" s="171"/>
      <c r="G251" s="56" t="s">
        <v>1633</v>
      </c>
      <c r="H251" s="65">
        <v>0.6</v>
      </c>
      <c r="I251" s="65">
        <v>186</v>
      </c>
      <c r="J251" s="65">
        <f t="shared" si="232"/>
        <v>111.6</v>
      </c>
      <c r="K251" s="65">
        <f t="shared" si="233"/>
        <v>0</v>
      </c>
      <c r="L251" s="65">
        <f t="shared" si="234"/>
        <v>111.6</v>
      </c>
      <c r="M251" s="74" t="s">
        <v>1657</v>
      </c>
      <c r="N251" s="19"/>
      <c r="Z251" s="35">
        <f t="shared" si="235"/>
        <v>0</v>
      </c>
      <c r="AB251" s="35">
        <f t="shared" si="236"/>
        <v>0</v>
      </c>
      <c r="AC251" s="35">
        <f t="shared" si="237"/>
        <v>0</v>
      </c>
      <c r="AD251" s="35">
        <f t="shared" si="238"/>
        <v>111.6</v>
      </c>
      <c r="AE251" s="35">
        <f t="shared" si="239"/>
        <v>0</v>
      </c>
      <c r="AF251" s="35">
        <f t="shared" si="240"/>
        <v>0</v>
      </c>
      <c r="AG251" s="35">
        <f t="shared" si="241"/>
        <v>0</v>
      </c>
      <c r="AH251" s="35">
        <f t="shared" si="242"/>
        <v>0</v>
      </c>
      <c r="AI251" s="77" t="s">
        <v>61</v>
      </c>
      <c r="AJ251" s="65">
        <f t="shared" si="243"/>
        <v>0</v>
      </c>
      <c r="AK251" s="65">
        <f t="shared" si="244"/>
        <v>0</v>
      </c>
      <c r="AL251" s="65">
        <f t="shared" si="245"/>
        <v>111.6</v>
      </c>
      <c r="AN251" s="35">
        <v>21</v>
      </c>
      <c r="AO251" s="35">
        <f>I251*1</f>
        <v>186</v>
      </c>
      <c r="AP251" s="35">
        <f>I251*(1-1)</f>
        <v>0</v>
      </c>
      <c r="AQ251" s="79" t="s">
        <v>235</v>
      </c>
      <c r="AV251" s="35">
        <f t="shared" si="246"/>
        <v>111.6</v>
      </c>
      <c r="AW251" s="35">
        <f t="shared" si="247"/>
        <v>111.6</v>
      </c>
      <c r="AX251" s="35">
        <f t="shared" si="248"/>
        <v>0</v>
      </c>
      <c r="AY251" s="80" t="s">
        <v>1691</v>
      </c>
      <c r="AZ251" s="80" t="s">
        <v>1734</v>
      </c>
      <c r="BA251" s="77" t="s">
        <v>1774</v>
      </c>
      <c r="BC251" s="35">
        <f t="shared" si="249"/>
        <v>111.6</v>
      </c>
      <c r="BD251" s="35">
        <f t="shared" si="250"/>
        <v>186</v>
      </c>
      <c r="BE251" s="35">
        <v>0</v>
      </c>
      <c r="BF251" s="35">
        <f>251</f>
        <v>251</v>
      </c>
      <c r="BH251" s="65">
        <f t="shared" si="251"/>
        <v>111.6</v>
      </c>
      <c r="BI251" s="65">
        <f t="shared" si="252"/>
        <v>0</v>
      </c>
      <c r="BJ251" s="65">
        <f t="shared" si="253"/>
        <v>111.6</v>
      </c>
      <c r="BK251" s="65" t="s">
        <v>1642</v>
      </c>
      <c r="BL251" s="35">
        <v>766</v>
      </c>
    </row>
    <row r="252" spans="1:64">
      <c r="A252" s="48" t="s">
        <v>374</v>
      </c>
      <c r="B252" s="56" t="s">
        <v>61</v>
      </c>
      <c r="C252" s="56" t="s">
        <v>884</v>
      </c>
      <c r="D252" s="170" t="s">
        <v>1294</v>
      </c>
      <c r="E252" s="171"/>
      <c r="F252" s="171"/>
      <c r="G252" s="56" t="s">
        <v>1633</v>
      </c>
      <c r="H252" s="65">
        <v>36</v>
      </c>
      <c r="I252" s="65">
        <v>195</v>
      </c>
      <c r="J252" s="65">
        <f t="shared" si="232"/>
        <v>7020</v>
      </c>
      <c r="K252" s="65">
        <f t="shared" si="233"/>
        <v>0</v>
      </c>
      <c r="L252" s="65">
        <f t="shared" si="234"/>
        <v>7020</v>
      </c>
      <c r="M252" s="74" t="s">
        <v>1657</v>
      </c>
      <c r="N252" s="19"/>
      <c r="Z252" s="35">
        <f t="shared" si="235"/>
        <v>0</v>
      </c>
      <c r="AB252" s="35">
        <f t="shared" si="236"/>
        <v>0</v>
      </c>
      <c r="AC252" s="35">
        <f t="shared" si="237"/>
        <v>0</v>
      </c>
      <c r="AD252" s="35">
        <f t="shared" si="238"/>
        <v>7020</v>
      </c>
      <c r="AE252" s="35">
        <f t="shared" si="239"/>
        <v>0</v>
      </c>
      <c r="AF252" s="35">
        <f t="shared" si="240"/>
        <v>0</v>
      </c>
      <c r="AG252" s="35">
        <f t="shared" si="241"/>
        <v>0</v>
      </c>
      <c r="AH252" s="35">
        <f t="shared" si="242"/>
        <v>0</v>
      </c>
      <c r="AI252" s="77" t="s">
        <v>61</v>
      </c>
      <c r="AJ252" s="65">
        <f t="shared" si="243"/>
        <v>0</v>
      </c>
      <c r="AK252" s="65">
        <f t="shared" si="244"/>
        <v>0</v>
      </c>
      <c r="AL252" s="65">
        <f t="shared" si="245"/>
        <v>7020</v>
      </c>
      <c r="AN252" s="35">
        <v>21</v>
      </c>
      <c r="AO252" s="35">
        <f>I252*1</f>
        <v>195</v>
      </c>
      <c r="AP252" s="35">
        <f>I252*(1-1)</f>
        <v>0</v>
      </c>
      <c r="AQ252" s="79" t="s">
        <v>235</v>
      </c>
      <c r="AV252" s="35">
        <f t="shared" si="246"/>
        <v>7020</v>
      </c>
      <c r="AW252" s="35">
        <f t="shared" si="247"/>
        <v>7020</v>
      </c>
      <c r="AX252" s="35">
        <f t="shared" si="248"/>
        <v>0</v>
      </c>
      <c r="AY252" s="80" t="s">
        <v>1691</v>
      </c>
      <c r="AZ252" s="80" t="s">
        <v>1734</v>
      </c>
      <c r="BA252" s="77" t="s">
        <v>1774</v>
      </c>
      <c r="BC252" s="35">
        <f t="shared" si="249"/>
        <v>7020</v>
      </c>
      <c r="BD252" s="35">
        <f t="shared" si="250"/>
        <v>195</v>
      </c>
      <c r="BE252" s="35">
        <v>0</v>
      </c>
      <c r="BF252" s="35">
        <f>252</f>
        <v>252</v>
      </c>
      <c r="BH252" s="65">
        <f t="shared" si="251"/>
        <v>7020</v>
      </c>
      <c r="BI252" s="65">
        <f t="shared" si="252"/>
        <v>0</v>
      </c>
      <c r="BJ252" s="65">
        <f t="shared" si="253"/>
        <v>7020</v>
      </c>
      <c r="BK252" s="65" t="s">
        <v>1642</v>
      </c>
      <c r="BL252" s="35">
        <v>766</v>
      </c>
    </row>
    <row r="253" spans="1:64">
      <c r="A253" s="48" t="s">
        <v>375</v>
      </c>
      <c r="B253" s="56" t="s">
        <v>61</v>
      </c>
      <c r="C253" s="56" t="s">
        <v>885</v>
      </c>
      <c r="D253" s="170" t="s">
        <v>1295</v>
      </c>
      <c r="E253" s="171"/>
      <c r="F253" s="171"/>
      <c r="G253" s="56" t="s">
        <v>1633</v>
      </c>
      <c r="H253" s="65">
        <v>0.6</v>
      </c>
      <c r="I253" s="65">
        <v>212</v>
      </c>
      <c r="J253" s="65">
        <f t="shared" si="232"/>
        <v>127.19999999999999</v>
      </c>
      <c r="K253" s="65">
        <f t="shared" si="233"/>
        <v>0</v>
      </c>
      <c r="L253" s="65">
        <f t="shared" si="234"/>
        <v>127.19999999999999</v>
      </c>
      <c r="M253" s="74" t="s">
        <v>1657</v>
      </c>
      <c r="N253" s="19"/>
      <c r="Z253" s="35">
        <f t="shared" si="235"/>
        <v>0</v>
      </c>
      <c r="AB253" s="35">
        <f t="shared" si="236"/>
        <v>0</v>
      </c>
      <c r="AC253" s="35">
        <f t="shared" si="237"/>
        <v>0</v>
      </c>
      <c r="AD253" s="35">
        <f t="shared" si="238"/>
        <v>127.19999999999999</v>
      </c>
      <c r="AE253" s="35">
        <f t="shared" si="239"/>
        <v>0</v>
      </c>
      <c r="AF253" s="35">
        <f t="shared" si="240"/>
        <v>0</v>
      </c>
      <c r="AG253" s="35">
        <f t="shared" si="241"/>
        <v>0</v>
      </c>
      <c r="AH253" s="35">
        <f t="shared" si="242"/>
        <v>0</v>
      </c>
      <c r="AI253" s="77" t="s">
        <v>61</v>
      </c>
      <c r="AJ253" s="65">
        <f t="shared" si="243"/>
        <v>0</v>
      </c>
      <c r="AK253" s="65">
        <f t="shared" si="244"/>
        <v>0</v>
      </c>
      <c r="AL253" s="65">
        <f t="shared" si="245"/>
        <v>127.19999999999999</v>
      </c>
      <c r="AN253" s="35">
        <v>21</v>
      </c>
      <c r="AO253" s="35">
        <f>I253*1</f>
        <v>212</v>
      </c>
      <c r="AP253" s="35">
        <f>I253*(1-1)</f>
        <v>0</v>
      </c>
      <c r="AQ253" s="79" t="s">
        <v>235</v>
      </c>
      <c r="AV253" s="35">
        <f t="shared" si="246"/>
        <v>127.19999999999999</v>
      </c>
      <c r="AW253" s="35">
        <f t="shared" si="247"/>
        <v>127.19999999999999</v>
      </c>
      <c r="AX253" s="35">
        <f t="shared" si="248"/>
        <v>0</v>
      </c>
      <c r="AY253" s="80" t="s">
        <v>1691</v>
      </c>
      <c r="AZ253" s="80" t="s">
        <v>1734</v>
      </c>
      <c r="BA253" s="77" t="s">
        <v>1774</v>
      </c>
      <c r="BC253" s="35">
        <f t="shared" si="249"/>
        <v>127.19999999999999</v>
      </c>
      <c r="BD253" s="35">
        <f t="shared" si="250"/>
        <v>212</v>
      </c>
      <c r="BE253" s="35">
        <v>0</v>
      </c>
      <c r="BF253" s="35">
        <f>253</f>
        <v>253</v>
      </c>
      <c r="BH253" s="65">
        <f t="shared" si="251"/>
        <v>127.19999999999999</v>
      </c>
      <c r="BI253" s="65">
        <f t="shared" si="252"/>
        <v>0</v>
      </c>
      <c r="BJ253" s="65">
        <f t="shared" si="253"/>
        <v>127.19999999999999</v>
      </c>
      <c r="BK253" s="65" t="s">
        <v>1642</v>
      </c>
      <c r="BL253" s="35">
        <v>766</v>
      </c>
    </row>
    <row r="254" spans="1:64">
      <c r="A254" s="48" t="s">
        <v>376</v>
      </c>
      <c r="B254" s="56" t="s">
        <v>61</v>
      </c>
      <c r="C254" s="56" t="s">
        <v>886</v>
      </c>
      <c r="D254" s="170" t="s">
        <v>1296</v>
      </c>
      <c r="E254" s="171"/>
      <c r="F254" s="171"/>
      <c r="G254" s="56" t="s">
        <v>1639</v>
      </c>
      <c r="H254" s="65">
        <v>42</v>
      </c>
      <c r="I254" s="65">
        <v>19</v>
      </c>
      <c r="J254" s="65">
        <f t="shared" si="232"/>
        <v>798</v>
      </c>
      <c r="K254" s="65">
        <f t="shared" si="233"/>
        <v>0</v>
      </c>
      <c r="L254" s="65">
        <f t="shared" si="234"/>
        <v>798</v>
      </c>
      <c r="M254" s="74" t="s">
        <v>1657</v>
      </c>
      <c r="N254" s="19"/>
      <c r="Z254" s="35">
        <f t="shared" si="235"/>
        <v>0</v>
      </c>
      <c r="AB254" s="35">
        <f t="shared" si="236"/>
        <v>0</v>
      </c>
      <c r="AC254" s="35">
        <f t="shared" si="237"/>
        <v>0</v>
      </c>
      <c r="AD254" s="35">
        <f t="shared" si="238"/>
        <v>798</v>
      </c>
      <c r="AE254" s="35">
        <f t="shared" si="239"/>
        <v>0</v>
      </c>
      <c r="AF254" s="35">
        <f t="shared" si="240"/>
        <v>0</v>
      </c>
      <c r="AG254" s="35">
        <f t="shared" si="241"/>
        <v>0</v>
      </c>
      <c r="AH254" s="35">
        <f t="shared" si="242"/>
        <v>0</v>
      </c>
      <c r="AI254" s="77" t="s">
        <v>61</v>
      </c>
      <c r="AJ254" s="65">
        <f t="shared" si="243"/>
        <v>0</v>
      </c>
      <c r="AK254" s="65">
        <f t="shared" si="244"/>
        <v>0</v>
      </c>
      <c r="AL254" s="65">
        <f t="shared" si="245"/>
        <v>798</v>
      </c>
      <c r="AN254" s="35">
        <v>21</v>
      </c>
      <c r="AO254" s="35">
        <f>I254*1</f>
        <v>19</v>
      </c>
      <c r="AP254" s="35">
        <f>I254*(1-1)</f>
        <v>0</v>
      </c>
      <c r="AQ254" s="79" t="s">
        <v>235</v>
      </c>
      <c r="AV254" s="35">
        <f t="shared" si="246"/>
        <v>798</v>
      </c>
      <c r="AW254" s="35">
        <f t="shared" si="247"/>
        <v>798</v>
      </c>
      <c r="AX254" s="35">
        <f t="shared" si="248"/>
        <v>0</v>
      </c>
      <c r="AY254" s="80" t="s">
        <v>1691</v>
      </c>
      <c r="AZ254" s="80" t="s">
        <v>1734</v>
      </c>
      <c r="BA254" s="77" t="s">
        <v>1774</v>
      </c>
      <c r="BC254" s="35">
        <f t="shared" si="249"/>
        <v>798</v>
      </c>
      <c r="BD254" s="35">
        <f t="shared" si="250"/>
        <v>19</v>
      </c>
      <c r="BE254" s="35">
        <v>0</v>
      </c>
      <c r="BF254" s="35">
        <f>254</f>
        <v>254</v>
      </c>
      <c r="BH254" s="65">
        <f t="shared" si="251"/>
        <v>798</v>
      </c>
      <c r="BI254" s="65">
        <f t="shared" si="252"/>
        <v>0</v>
      </c>
      <c r="BJ254" s="65">
        <f t="shared" si="253"/>
        <v>798</v>
      </c>
      <c r="BK254" s="65" t="s">
        <v>1642</v>
      </c>
      <c r="BL254" s="35">
        <v>766</v>
      </c>
    </row>
    <row r="255" spans="1:64">
      <c r="A255" s="47" t="s">
        <v>377</v>
      </c>
      <c r="B255" s="55" t="s">
        <v>61</v>
      </c>
      <c r="C255" s="55" t="s">
        <v>887</v>
      </c>
      <c r="D255" s="165" t="s">
        <v>1297</v>
      </c>
      <c r="E255" s="166"/>
      <c r="F255" s="166"/>
      <c r="G255" s="55" t="s">
        <v>1631</v>
      </c>
      <c r="H255" s="64">
        <v>1</v>
      </c>
      <c r="I255" s="64">
        <v>176</v>
      </c>
      <c r="J255" s="64">
        <f t="shared" si="232"/>
        <v>0</v>
      </c>
      <c r="K255" s="64">
        <f t="shared" si="233"/>
        <v>176</v>
      </c>
      <c r="L255" s="64">
        <f t="shared" si="234"/>
        <v>176</v>
      </c>
      <c r="M255" s="73" t="s">
        <v>1657</v>
      </c>
      <c r="N255" s="19"/>
      <c r="Z255" s="35">
        <f t="shared" si="235"/>
        <v>0</v>
      </c>
      <c r="AB255" s="35">
        <f t="shared" si="236"/>
        <v>0</v>
      </c>
      <c r="AC255" s="35">
        <f t="shared" si="237"/>
        <v>0</v>
      </c>
      <c r="AD255" s="35">
        <f t="shared" si="238"/>
        <v>0</v>
      </c>
      <c r="AE255" s="35">
        <f t="shared" si="239"/>
        <v>176</v>
      </c>
      <c r="AF255" s="35">
        <f t="shared" si="240"/>
        <v>0</v>
      </c>
      <c r="AG255" s="35">
        <f t="shared" si="241"/>
        <v>0</v>
      </c>
      <c r="AH255" s="35">
        <f t="shared" si="242"/>
        <v>0</v>
      </c>
      <c r="AI255" s="77" t="s">
        <v>61</v>
      </c>
      <c r="AJ255" s="64">
        <f t="shared" si="243"/>
        <v>0</v>
      </c>
      <c r="AK255" s="64">
        <f t="shared" si="244"/>
        <v>0</v>
      </c>
      <c r="AL255" s="64">
        <f t="shared" si="245"/>
        <v>176</v>
      </c>
      <c r="AN255" s="35">
        <v>21</v>
      </c>
      <c r="AO255" s="35">
        <f>I255*0</f>
        <v>0</v>
      </c>
      <c r="AP255" s="35">
        <f>I255*(1-0)</f>
        <v>176</v>
      </c>
      <c r="AQ255" s="78" t="s">
        <v>235</v>
      </c>
      <c r="AV255" s="35">
        <f t="shared" si="246"/>
        <v>176</v>
      </c>
      <c r="AW255" s="35">
        <f t="shared" si="247"/>
        <v>0</v>
      </c>
      <c r="AX255" s="35">
        <f t="shared" si="248"/>
        <v>176</v>
      </c>
      <c r="AY255" s="80" t="s">
        <v>1691</v>
      </c>
      <c r="AZ255" s="80" t="s">
        <v>1734</v>
      </c>
      <c r="BA255" s="77" t="s">
        <v>1774</v>
      </c>
      <c r="BC255" s="35">
        <f t="shared" si="249"/>
        <v>176</v>
      </c>
      <c r="BD255" s="35">
        <f t="shared" si="250"/>
        <v>176</v>
      </c>
      <c r="BE255" s="35">
        <v>0</v>
      </c>
      <c r="BF255" s="35">
        <f>255</f>
        <v>255</v>
      </c>
      <c r="BH255" s="64">
        <f t="shared" si="251"/>
        <v>0</v>
      </c>
      <c r="BI255" s="64">
        <f t="shared" si="252"/>
        <v>176</v>
      </c>
      <c r="BJ255" s="64">
        <f t="shared" si="253"/>
        <v>176</v>
      </c>
      <c r="BK255" s="64" t="s">
        <v>1790</v>
      </c>
      <c r="BL255" s="35">
        <v>766</v>
      </c>
    </row>
    <row r="256" spans="1:64">
      <c r="A256" s="48" t="s">
        <v>378</v>
      </c>
      <c r="B256" s="56" t="s">
        <v>61</v>
      </c>
      <c r="C256" s="56" t="s">
        <v>883</v>
      </c>
      <c r="D256" s="170" t="s">
        <v>1293</v>
      </c>
      <c r="E256" s="171"/>
      <c r="F256" s="171"/>
      <c r="G256" s="56" t="s">
        <v>1633</v>
      </c>
      <c r="H256" s="65">
        <v>1.2</v>
      </c>
      <c r="I256" s="65">
        <v>186</v>
      </c>
      <c r="J256" s="65">
        <f t="shared" si="232"/>
        <v>223.2</v>
      </c>
      <c r="K256" s="65">
        <f t="shared" si="233"/>
        <v>0</v>
      </c>
      <c r="L256" s="65">
        <f t="shared" si="234"/>
        <v>223.2</v>
      </c>
      <c r="M256" s="74" t="s">
        <v>1657</v>
      </c>
      <c r="N256" s="19"/>
      <c r="Z256" s="35">
        <f t="shared" si="235"/>
        <v>0</v>
      </c>
      <c r="AB256" s="35">
        <f t="shared" si="236"/>
        <v>0</v>
      </c>
      <c r="AC256" s="35">
        <f t="shared" si="237"/>
        <v>0</v>
      </c>
      <c r="AD256" s="35">
        <f t="shared" si="238"/>
        <v>223.2</v>
      </c>
      <c r="AE256" s="35">
        <f t="shared" si="239"/>
        <v>0</v>
      </c>
      <c r="AF256" s="35">
        <f t="shared" si="240"/>
        <v>0</v>
      </c>
      <c r="AG256" s="35">
        <f t="shared" si="241"/>
        <v>0</v>
      </c>
      <c r="AH256" s="35">
        <f t="shared" si="242"/>
        <v>0</v>
      </c>
      <c r="AI256" s="77" t="s">
        <v>61</v>
      </c>
      <c r="AJ256" s="65">
        <f t="shared" si="243"/>
        <v>0</v>
      </c>
      <c r="AK256" s="65">
        <f t="shared" si="244"/>
        <v>0</v>
      </c>
      <c r="AL256" s="65">
        <f t="shared" si="245"/>
        <v>223.2</v>
      </c>
      <c r="AN256" s="35">
        <v>21</v>
      </c>
      <c r="AO256" s="35">
        <f>I256*1</f>
        <v>186</v>
      </c>
      <c r="AP256" s="35">
        <f>I256*(1-1)</f>
        <v>0</v>
      </c>
      <c r="AQ256" s="79" t="s">
        <v>235</v>
      </c>
      <c r="AV256" s="35">
        <f t="shared" si="246"/>
        <v>223.2</v>
      </c>
      <c r="AW256" s="35">
        <f t="shared" si="247"/>
        <v>223.2</v>
      </c>
      <c r="AX256" s="35">
        <f t="shared" si="248"/>
        <v>0</v>
      </c>
      <c r="AY256" s="80" t="s">
        <v>1691</v>
      </c>
      <c r="AZ256" s="80" t="s">
        <v>1734</v>
      </c>
      <c r="BA256" s="77" t="s">
        <v>1774</v>
      </c>
      <c r="BC256" s="35">
        <f t="shared" si="249"/>
        <v>223.2</v>
      </c>
      <c r="BD256" s="35">
        <f t="shared" si="250"/>
        <v>186</v>
      </c>
      <c r="BE256" s="35">
        <v>0</v>
      </c>
      <c r="BF256" s="35">
        <f>256</f>
        <v>256</v>
      </c>
      <c r="BH256" s="65">
        <f t="shared" si="251"/>
        <v>223.2</v>
      </c>
      <c r="BI256" s="65">
        <f t="shared" si="252"/>
        <v>0</v>
      </c>
      <c r="BJ256" s="65">
        <f t="shared" si="253"/>
        <v>223.2</v>
      </c>
      <c r="BK256" s="65" t="s">
        <v>1642</v>
      </c>
      <c r="BL256" s="35">
        <v>766</v>
      </c>
    </row>
    <row r="257" spans="1:64">
      <c r="A257" s="48" t="s">
        <v>379</v>
      </c>
      <c r="B257" s="56" t="s">
        <v>61</v>
      </c>
      <c r="C257" s="56" t="s">
        <v>886</v>
      </c>
      <c r="D257" s="170" t="s">
        <v>1296</v>
      </c>
      <c r="E257" s="171"/>
      <c r="F257" s="171"/>
      <c r="G257" s="56" t="s">
        <v>1639</v>
      </c>
      <c r="H257" s="65">
        <v>1</v>
      </c>
      <c r="I257" s="65">
        <v>19</v>
      </c>
      <c r="J257" s="65">
        <f t="shared" si="232"/>
        <v>19</v>
      </c>
      <c r="K257" s="65">
        <f t="shared" si="233"/>
        <v>0</v>
      </c>
      <c r="L257" s="65">
        <f t="shared" si="234"/>
        <v>19</v>
      </c>
      <c r="M257" s="74" t="s">
        <v>1657</v>
      </c>
      <c r="N257" s="19"/>
      <c r="Z257" s="35">
        <f t="shared" si="235"/>
        <v>0</v>
      </c>
      <c r="AB257" s="35">
        <f t="shared" si="236"/>
        <v>0</v>
      </c>
      <c r="AC257" s="35">
        <f t="shared" si="237"/>
        <v>0</v>
      </c>
      <c r="AD257" s="35">
        <f t="shared" si="238"/>
        <v>19</v>
      </c>
      <c r="AE257" s="35">
        <f t="shared" si="239"/>
        <v>0</v>
      </c>
      <c r="AF257" s="35">
        <f t="shared" si="240"/>
        <v>0</v>
      </c>
      <c r="AG257" s="35">
        <f t="shared" si="241"/>
        <v>0</v>
      </c>
      <c r="AH257" s="35">
        <f t="shared" si="242"/>
        <v>0</v>
      </c>
      <c r="AI257" s="77" t="s">
        <v>61</v>
      </c>
      <c r="AJ257" s="65">
        <f t="shared" si="243"/>
        <v>0</v>
      </c>
      <c r="AK257" s="65">
        <f t="shared" si="244"/>
        <v>0</v>
      </c>
      <c r="AL257" s="65">
        <f t="shared" si="245"/>
        <v>19</v>
      </c>
      <c r="AN257" s="35">
        <v>21</v>
      </c>
      <c r="AO257" s="35">
        <f>I257*1</f>
        <v>19</v>
      </c>
      <c r="AP257" s="35">
        <f>I257*(1-1)</f>
        <v>0</v>
      </c>
      <c r="AQ257" s="79" t="s">
        <v>235</v>
      </c>
      <c r="AV257" s="35">
        <f t="shared" si="246"/>
        <v>19</v>
      </c>
      <c r="AW257" s="35">
        <f t="shared" si="247"/>
        <v>19</v>
      </c>
      <c r="AX257" s="35">
        <f t="shared" si="248"/>
        <v>0</v>
      </c>
      <c r="AY257" s="80" t="s">
        <v>1691</v>
      </c>
      <c r="AZ257" s="80" t="s">
        <v>1734</v>
      </c>
      <c r="BA257" s="77" t="s">
        <v>1774</v>
      </c>
      <c r="BC257" s="35">
        <f t="shared" si="249"/>
        <v>19</v>
      </c>
      <c r="BD257" s="35">
        <f t="shared" si="250"/>
        <v>19</v>
      </c>
      <c r="BE257" s="35">
        <v>0</v>
      </c>
      <c r="BF257" s="35">
        <f>257</f>
        <v>257</v>
      </c>
      <c r="BH257" s="65">
        <f t="shared" si="251"/>
        <v>19</v>
      </c>
      <c r="BI257" s="65">
        <f t="shared" si="252"/>
        <v>0</v>
      </c>
      <c r="BJ257" s="65">
        <f t="shared" si="253"/>
        <v>19</v>
      </c>
      <c r="BK257" s="65" t="s">
        <v>1642</v>
      </c>
      <c r="BL257" s="35">
        <v>766</v>
      </c>
    </row>
    <row r="258" spans="1:64">
      <c r="A258" s="47" t="s">
        <v>380</v>
      </c>
      <c r="B258" s="55" t="s">
        <v>61</v>
      </c>
      <c r="C258" s="55" t="s">
        <v>888</v>
      </c>
      <c r="D258" s="165" t="s">
        <v>1298</v>
      </c>
      <c r="E258" s="166"/>
      <c r="F258" s="166"/>
      <c r="G258" s="55" t="s">
        <v>1631</v>
      </c>
      <c r="H258" s="64">
        <v>5</v>
      </c>
      <c r="I258" s="64">
        <v>238</v>
      </c>
      <c r="J258" s="64">
        <f t="shared" si="232"/>
        <v>0</v>
      </c>
      <c r="K258" s="64">
        <f t="shared" si="233"/>
        <v>1190</v>
      </c>
      <c r="L258" s="64">
        <f t="shared" si="234"/>
        <v>1190</v>
      </c>
      <c r="M258" s="73" t="s">
        <v>1657</v>
      </c>
      <c r="N258" s="19"/>
      <c r="Z258" s="35">
        <f t="shared" si="235"/>
        <v>0</v>
      </c>
      <c r="AB258" s="35">
        <f t="shared" si="236"/>
        <v>0</v>
      </c>
      <c r="AC258" s="35">
        <f t="shared" si="237"/>
        <v>0</v>
      </c>
      <c r="AD258" s="35">
        <f t="shared" si="238"/>
        <v>0</v>
      </c>
      <c r="AE258" s="35">
        <f t="shared" si="239"/>
        <v>1190</v>
      </c>
      <c r="AF258" s="35">
        <f t="shared" si="240"/>
        <v>0</v>
      </c>
      <c r="AG258" s="35">
        <f t="shared" si="241"/>
        <v>0</v>
      </c>
      <c r="AH258" s="35">
        <f t="shared" si="242"/>
        <v>0</v>
      </c>
      <c r="AI258" s="77" t="s">
        <v>61</v>
      </c>
      <c r="AJ258" s="64">
        <f t="shared" si="243"/>
        <v>0</v>
      </c>
      <c r="AK258" s="64">
        <f t="shared" si="244"/>
        <v>0</v>
      </c>
      <c r="AL258" s="64">
        <f t="shared" si="245"/>
        <v>1190</v>
      </c>
      <c r="AN258" s="35">
        <v>21</v>
      </c>
      <c r="AO258" s="35">
        <f>I258*0</f>
        <v>0</v>
      </c>
      <c r="AP258" s="35">
        <f>I258*(1-0)</f>
        <v>238</v>
      </c>
      <c r="AQ258" s="78" t="s">
        <v>235</v>
      </c>
      <c r="AV258" s="35">
        <f t="shared" si="246"/>
        <v>1190</v>
      </c>
      <c r="AW258" s="35">
        <f t="shared" si="247"/>
        <v>0</v>
      </c>
      <c r="AX258" s="35">
        <f t="shared" si="248"/>
        <v>1190</v>
      </c>
      <c r="AY258" s="80" t="s">
        <v>1691</v>
      </c>
      <c r="AZ258" s="80" t="s">
        <v>1734</v>
      </c>
      <c r="BA258" s="77" t="s">
        <v>1774</v>
      </c>
      <c r="BC258" s="35">
        <f t="shared" si="249"/>
        <v>1190</v>
      </c>
      <c r="BD258" s="35">
        <f t="shared" si="250"/>
        <v>238</v>
      </c>
      <c r="BE258" s="35">
        <v>0</v>
      </c>
      <c r="BF258" s="35">
        <f>258</f>
        <v>258</v>
      </c>
      <c r="BH258" s="64">
        <f t="shared" si="251"/>
        <v>0</v>
      </c>
      <c r="BI258" s="64">
        <f t="shared" si="252"/>
        <v>1190</v>
      </c>
      <c r="BJ258" s="64">
        <f t="shared" si="253"/>
        <v>1190</v>
      </c>
      <c r="BK258" s="64" t="s">
        <v>1790</v>
      </c>
      <c r="BL258" s="35">
        <v>766</v>
      </c>
    </row>
    <row r="259" spans="1:64">
      <c r="A259" s="48" t="s">
        <v>381</v>
      </c>
      <c r="B259" s="56" t="s">
        <v>61</v>
      </c>
      <c r="C259" s="56" t="s">
        <v>885</v>
      </c>
      <c r="D259" s="170" t="s">
        <v>1295</v>
      </c>
      <c r="E259" s="171"/>
      <c r="F259" s="171"/>
      <c r="G259" s="56" t="s">
        <v>1633</v>
      </c>
      <c r="H259" s="65">
        <v>11.4</v>
      </c>
      <c r="I259" s="65">
        <v>212</v>
      </c>
      <c r="J259" s="65">
        <f t="shared" si="232"/>
        <v>2416.8000000000002</v>
      </c>
      <c r="K259" s="65">
        <f t="shared" si="233"/>
        <v>0</v>
      </c>
      <c r="L259" s="65">
        <f t="shared" si="234"/>
        <v>2416.8000000000002</v>
      </c>
      <c r="M259" s="74" t="s">
        <v>1657</v>
      </c>
      <c r="N259" s="19"/>
      <c r="Z259" s="35">
        <f t="shared" si="235"/>
        <v>0</v>
      </c>
      <c r="AB259" s="35">
        <f t="shared" si="236"/>
        <v>0</v>
      </c>
      <c r="AC259" s="35">
        <f t="shared" si="237"/>
        <v>0</v>
      </c>
      <c r="AD259" s="35">
        <f t="shared" si="238"/>
        <v>2416.8000000000002</v>
      </c>
      <c r="AE259" s="35">
        <f t="shared" si="239"/>
        <v>0</v>
      </c>
      <c r="AF259" s="35">
        <f t="shared" si="240"/>
        <v>0</v>
      </c>
      <c r="AG259" s="35">
        <f t="shared" si="241"/>
        <v>0</v>
      </c>
      <c r="AH259" s="35">
        <f t="shared" si="242"/>
        <v>0</v>
      </c>
      <c r="AI259" s="77" t="s">
        <v>61</v>
      </c>
      <c r="AJ259" s="65">
        <f t="shared" si="243"/>
        <v>0</v>
      </c>
      <c r="AK259" s="65">
        <f t="shared" si="244"/>
        <v>0</v>
      </c>
      <c r="AL259" s="65">
        <f t="shared" si="245"/>
        <v>2416.8000000000002</v>
      </c>
      <c r="AN259" s="35">
        <v>21</v>
      </c>
      <c r="AO259" s="35">
        <f>I259*1</f>
        <v>212</v>
      </c>
      <c r="AP259" s="35">
        <f>I259*(1-1)</f>
        <v>0</v>
      </c>
      <c r="AQ259" s="79" t="s">
        <v>235</v>
      </c>
      <c r="AV259" s="35">
        <f t="shared" si="246"/>
        <v>2416.8000000000002</v>
      </c>
      <c r="AW259" s="35">
        <f t="shared" si="247"/>
        <v>2416.8000000000002</v>
      </c>
      <c r="AX259" s="35">
        <f t="shared" si="248"/>
        <v>0</v>
      </c>
      <c r="AY259" s="80" t="s">
        <v>1691</v>
      </c>
      <c r="AZ259" s="80" t="s">
        <v>1734</v>
      </c>
      <c r="BA259" s="77" t="s">
        <v>1774</v>
      </c>
      <c r="BC259" s="35">
        <f t="shared" si="249"/>
        <v>2416.8000000000002</v>
      </c>
      <c r="BD259" s="35">
        <f t="shared" si="250"/>
        <v>212</v>
      </c>
      <c r="BE259" s="35">
        <v>0</v>
      </c>
      <c r="BF259" s="35">
        <f>259</f>
        <v>259</v>
      </c>
      <c r="BH259" s="65">
        <f t="shared" si="251"/>
        <v>2416.8000000000002</v>
      </c>
      <c r="BI259" s="65">
        <f t="shared" si="252"/>
        <v>0</v>
      </c>
      <c r="BJ259" s="65">
        <f t="shared" si="253"/>
        <v>2416.8000000000002</v>
      </c>
      <c r="BK259" s="65" t="s">
        <v>1642</v>
      </c>
      <c r="BL259" s="35">
        <v>766</v>
      </c>
    </row>
    <row r="260" spans="1:64">
      <c r="A260" s="48" t="s">
        <v>382</v>
      </c>
      <c r="B260" s="56" t="s">
        <v>61</v>
      </c>
      <c r="C260" s="56" t="s">
        <v>886</v>
      </c>
      <c r="D260" s="170" t="s">
        <v>1296</v>
      </c>
      <c r="E260" s="171"/>
      <c r="F260" s="171"/>
      <c r="G260" s="56" t="s">
        <v>1639</v>
      </c>
      <c r="H260" s="65">
        <v>5</v>
      </c>
      <c r="I260" s="65">
        <v>19</v>
      </c>
      <c r="J260" s="65">
        <f t="shared" si="232"/>
        <v>95</v>
      </c>
      <c r="K260" s="65">
        <f t="shared" si="233"/>
        <v>0</v>
      </c>
      <c r="L260" s="65">
        <f t="shared" si="234"/>
        <v>95</v>
      </c>
      <c r="M260" s="74" t="s">
        <v>1657</v>
      </c>
      <c r="N260" s="19"/>
      <c r="Z260" s="35">
        <f t="shared" si="235"/>
        <v>0</v>
      </c>
      <c r="AB260" s="35">
        <f t="shared" si="236"/>
        <v>0</v>
      </c>
      <c r="AC260" s="35">
        <f t="shared" si="237"/>
        <v>0</v>
      </c>
      <c r="AD260" s="35">
        <f t="shared" si="238"/>
        <v>95</v>
      </c>
      <c r="AE260" s="35">
        <f t="shared" si="239"/>
        <v>0</v>
      </c>
      <c r="AF260" s="35">
        <f t="shared" si="240"/>
        <v>0</v>
      </c>
      <c r="AG260" s="35">
        <f t="shared" si="241"/>
        <v>0</v>
      </c>
      <c r="AH260" s="35">
        <f t="shared" si="242"/>
        <v>0</v>
      </c>
      <c r="AI260" s="77" t="s">
        <v>61</v>
      </c>
      <c r="AJ260" s="65">
        <f t="shared" si="243"/>
        <v>0</v>
      </c>
      <c r="AK260" s="65">
        <f t="shared" si="244"/>
        <v>0</v>
      </c>
      <c r="AL260" s="65">
        <f t="shared" si="245"/>
        <v>95</v>
      </c>
      <c r="AN260" s="35">
        <v>21</v>
      </c>
      <c r="AO260" s="35">
        <f>I260*1</f>
        <v>19</v>
      </c>
      <c r="AP260" s="35">
        <f>I260*(1-1)</f>
        <v>0</v>
      </c>
      <c r="AQ260" s="79" t="s">
        <v>235</v>
      </c>
      <c r="AV260" s="35">
        <f t="shared" si="246"/>
        <v>95</v>
      </c>
      <c r="AW260" s="35">
        <f t="shared" si="247"/>
        <v>95</v>
      </c>
      <c r="AX260" s="35">
        <f t="shared" si="248"/>
        <v>0</v>
      </c>
      <c r="AY260" s="80" t="s">
        <v>1691</v>
      </c>
      <c r="AZ260" s="80" t="s">
        <v>1734</v>
      </c>
      <c r="BA260" s="77" t="s">
        <v>1774</v>
      </c>
      <c r="BC260" s="35">
        <f t="shared" si="249"/>
        <v>95</v>
      </c>
      <c r="BD260" s="35">
        <f t="shared" si="250"/>
        <v>19</v>
      </c>
      <c r="BE260" s="35">
        <v>0</v>
      </c>
      <c r="BF260" s="35">
        <f>260</f>
        <v>260</v>
      </c>
      <c r="BH260" s="65">
        <f t="shared" si="251"/>
        <v>95</v>
      </c>
      <c r="BI260" s="65">
        <f t="shared" si="252"/>
        <v>0</v>
      </c>
      <c r="BJ260" s="65">
        <f t="shared" si="253"/>
        <v>95</v>
      </c>
      <c r="BK260" s="65" t="s">
        <v>1642</v>
      </c>
      <c r="BL260" s="35">
        <v>766</v>
      </c>
    </row>
    <row r="261" spans="1:64">
      <c r="A261" s="47" t="s">
        <v>383</v>
      </c>
      <c r="B261" s="55" t="s">
        <v>61</v>
      </c>
      <c r="C261" s="55" t="s">
        <v>889</v>
      </c>
      <c r="D261" s="165" t="s">
        <v>1299</v>
      </c>
      <c r="E261" s="166"/>
      <c r="F261" s="166"/>
      <c r="G261" s="55" t="s">
        <v>1631</v>
      </c>
      <c r="H261" s="64">
        <v>24</v>
      </c>
      <c r="I261" s="64">
        <v>267</v>
      </c>
      <c r="J261" s="64">
        <f t="shared" si="232"/>
        <v>0</v>
      </c>
      <c r="K261" s="64">
        <f t="shared" si="233"/>
        <v>6408</v>
      </c>
      <c r="L261" s="64">
        <f t="shared" si="234"/>
        <v>6408</v>
      </c>
      <c r="M261" s="73" t="s">
        <v>1657</v>
      </c>
      <c r="N261" s="19"/>
      <c r="Z261" s="35">
        <f t="shared" si="235"/>
        <v>0</v>
      </c>
      <c r="AB261" s="35">
        <f t="shared" si="236"/>
        <v>0</v>
      </c>
      <c r="AC261" s="35">
        <f t="shared" si="237"/>
        <v>0</v>
      </c>
      <c r="AD261" s="35">
        <f t="shared" si="238"/>
        <v>0</v>
      </c>
      <c r="AE261" s="35">
        <f t="shared" si="239"/>
        <v>6408</v>
      </c>
      <c r="AF261" s="35">
        <f t="shared" si="240"/>
        <v>0</v>
      </c>
      <c r="AG261" s="35">
        <f t="shared" si="241"/>
        <v>0</v>
      </c>
      <c r="AH261" s="35">
        <f t="shared" si="242"/>
        <v>0</v>
      </c>
      <c r="AI261" s="77" t="s">
        <v>61</v>
      </c>
      <c r="AJ261" s="64">
        <f t="shared" si="243"/>
        <v>0</v>
      </c>
      <c r="AK261" s="64">
        <f t="shared" si="244"/>
        <v>0</v>
      </c>
      <c r="AL261" s="64">
        <f t="shared" si="245"/>
        <v>6408</v>
      </c>
      <c r="AN261" s="35">
        <v>21</v>
      </c>
      <c r="AO261" s="35">
        <f>I261*0</f>
        <v>0</v>
      </c>
      <c r="AP261" s="35">
        <f>I261*(1-0)</f>
        <v>267</v>
      </c>
      <c r="AQ261" s="78" t="s">
        <v>235</v>
      </c>
      <c r="AV261" s="35">
        <f t="shared" si="246"/>
        <v>6408</v>
      </c>
      <c r="AW261" s="35">
        <f t="shared" si="247"/>
        <v>0</v>
      </c>
      <c r="AX261" s="35">
        <f t="shared" si="248"/>
        <v>6408</v>
      </c>
      <c r="AY261" s="80" t="s">
        <v>1691</v>
      </c>
      <c r="AZ261" s="80" t="s">
        <v>1734</v>
      </c>
      <c r="BA261" s="77" t="s">
        <v>1774</v>
      </c>
      <c r="BC261" s="35">
        <f t="shared" si="249"/>
        <v>6408</v>
      </c>
      <c r="BD261" s="35">
        <f t="shared" si="250"/>
        <v>267</v>
      </c>
      <c r="BE261" s="35">
        <v>0</v>
      </c>
      <c r="BF261" s="35">
        <f>261</f>
        <v>261</v>
      </c>
      <c r="BH261" s="64">
        <f t="shared" si="251"/>
        <v>0</v>
      </c>
      <c r="BI261" s="64">
        <f t="shared" si="252"/>
        <v>6408</v>
      </c>
      <c r="BJ261" s="64">
        <f t="shared" si="253"/>
        <v>6408</v>
      </c>
      <c r="BK261" s="64" t="s">
        <v>1790</v>
      </c>
      <c r="BL261" s="35">
        <v>766</v>
      </c>
    </row>
    <row r="262" spans="1:64">
      <c r="A262" s="48" t="s">
        <v>384</v>
      </c>
      <c r="B262" s="56" t="s">
        <v>61</v>
      </c>
      <c r="C262" s="56" t="s">
        <v>883</v>
      </c>
      <c r="D262" s="170" t="s">
        <v>1293</v>
      </c>
      <c r="E262" s="171"/>
      <c r="F262" s="171"/>
      <c r="G262" s="56" t="s">
        <v>1633</v>
      </c>
      <c r="H262" s="65">
        <v>63.6</v>
      </c>
      <c r="I262" s="65">
        <v>186</v>
      </c>
      <c r="J262" s="65">
        <f t="shared" si="232"/>
        <v>11829.6</v>
      </c>
      <c r="K262" s="65">
        <f t="shared" si="233"/>
        <v>0</v>
      </c>
      <c r="L262" s="65">
        <f t="shared" si="234"/>
        <v>11829.6</v>
      </c>
      <c r="M262" s="74" t="s">
        <v>1657</v>
      </c>
      <c r="N262" s="19"/>
      <c r="Z262" s="35">
        <f t="shared" si="235"/>
        <v>0</v>
      </c>
      <c r="AB262" s="35">
        <f t="shared" si="236"/>
        <v>0</v>
      </c>
      <c r="AC262" s="35">
        <f t="shared" si="237"/>
        <v>0</v>
      </c>
      <c r="AD262" s="35">
        <f t="shared" si="238"/>
        <v>11829.6</v>
      </c>
      <c r="AE262" s="35">
        <f t="shared" si="239"/>
        <v>0</v>
      </c>
      <c r="AF262" s="35">
        <f t="shared" si="240"/>
        <v>0</v>
      </c>
      <c r="AG262" s="35">
        <f t="shared" si="241"/>
        <v>0</v>
      </c>
      <c r="AH262" s="35">
        <f t="shared" si="242"/>
        <v>0</v>
      </c>
      <c r="AI262" s="77" t="s">
        <v>61</v>
      </c>
      <c r="AJ262" s="65">
        <f t="shared" si="243"/>
        <v>0</v>
      </c>
      <c r="AK262" s="65">
        <f t="shared" si="244"/>
        <v>0</v>
      </c>
      <c r="AL262" s="65">
        <f t="shared" si="245"/>
        <v>11829.6</v>
      </c>
      <c r="AN262" s="35">
        <v>21</v>
      </c>
      <c r="AO262" s="35">
        <f>I262*1</f>
        <v>186</v>
      </c>
      <c r="AP262" s="35">
        <f>I262*(1-1)</f>
        <v>0</v>
      </c>
      <c r="AQ262" s="79" t="s">
        <v>235</v>
      </c>
      <c r="AV262" s="35">
        <f t="shared" si="246"/>
        <v>11829.6</v>
      </c>
      <c r="AW262" s="35">
        <f t="shared" si="247"/>
        <v>11829.6</v>
      </c>
      <c r="AX262" s="35">
        <f t="shared" si="248"/>
        <v>0</v>
      </c>
      <c r="AY262" s="80" t="s">
        <v>1691</v>
      </c>
      <c r="AZ262" s="80" t="s">
        <v>1734</v>
      </c>
      <c r="BA262" s="77" t="s">
        <v>1774</v>
      </c>
      <c r="BC262" s="35">
        <f t="shared" si="249"/>
        <v>11829.6</v>
      </c>
      <c r="BD262" s="35">
        <f t="shared" si="250"/>
        <v>186</v>
      </c>
      <c r="BE262" s="35">
        <v>0</v>
      </c>
      <c r="BF262" s="35">
        <f>262</f>
        <v>262</v>
      </c>
      <c r="BH262" s="65">
        <f t="shared" si="251"/>
        <v>11829.6</v>
      </c>
      <c r="BI262" s="65">
        <f t="shared" si="252"/>
        <v>0</v>
      </c>
      <c r="BJ262" s="65">
        <f t="shared" si="253"/>
        <v>11829.6</v>
      </c>
      <c r="BK262" s="65" t="s">
        <v>1642</v>
      </c>
      <c r="BL262" s="35">
        <v>766</v>
      </c>
    </row>
    <row r="263" spans="1:64">
      <c r="A263" s="48" t="s">
        <v>385</v>
      </c>
      <c r="B263" s="56" t="s">
        <v>61</v>
      </c>
      <c r="C263" s="56" t="s">
        <v>886</v>
      </c>
      <c r="D263" s="170" t="s">
        <v>1296</v>
      </c>
      <c r="E263" s="171"/>
      <c r="F263" s="171"/>
      <c r="G263" s="56" t="s">
        <v>1639</v>
      </c>
      <c r="H263" s="65">
        <v>24</v>
      </c>
      <c r="I263" s="65">
        <v>19</v>
      </c>
      <c r="J263" s="65">
        <f t="shared" si="232"/>
        <v>456</v>
      </c>
      <c r="K263" s="65">
        <f t="shared" si="233"/>
        <v>0</v>
      </c>
      <c r="L263" s="65">
        <f t="shared" si="234"/>
        <v>456</v>
      </c>
      <c r="M263" s="74" t="s">
        <v>1657</v>
      </c>
      <c r="N263" s="19"/>
      <c r="Z263" s="35">
        <f t="shared" si="235"/>
        <v>0</v>
      </c>
      <c r="AB263" s="35">
        <f t="shared" si="236"/>
        <v>0</v>
      </c>
      <c r="AC263" s="35">
        <f t="shared" si="237"/>
        <v>0</v>
      </c>
      <c r="AD263" s="35">
        <f t="shared" si="238"/>
        <v>456</v>
      </c>
      <c r="AE263" s="35">
        <f t="shared" si="239"/>
        <v>0</v>
      </c>
      <c r="AF263" s="35">
        <f t="shared" si="240"/>
        <v>0</v>
      </c>
      <c r="AG263" s="35">
        <f t="shared" si="241"/>
        <v>0</v>
      </c>
      <c r="AH263" s="35">
        <f t="shared" si="242"/>
        <v>0</v>
      </c>
      <c r="AI263" s="77" t="s">
        <v>61</v>
      </c>
      <c r="AJ263" s="65">
        <f t="shared" si="243"/>
        <v>0</v>
      </c>
      <c r="AK263" s="65">
        <f t="shared" si="244"/>
        <v>0</v>
      </c>
      <c r="AL263" s="65">
        <f t="shared" si="245"/>
        <v>456</v>
      </c>
      <c r="AN263" s="35">
        <v>21</v>
      </c>
      <c r="AO263" s="35">
        <f>I263*1</f>
        <v>19</v>
      </c>
      <c r="AP263" s="35">
        <f>I263*(1-1)</f>
        <v>0</v>
      </c>
      <c r="AQ263" s="79" t="s">
        <v>235</v>
      </c>
      <c r="AV263" s="35">
        <f t="shared" si="246"/>
        <v>456</v>
      </c>
      <c r="AW263" s="35">
        <f t="shared" si="247"/>
        <v>456</v>
      </c>
      <c r="AX263" s="35">
        <f t="shared" si="248"/>
        <v>0</v>
      </c>
      <c r="AY263" s="80" t="s">
        <v>1691</v>
      </c>
      <c r="AZ263" s="80" t="s">
        <v>1734</v>
      </c>
      <c r="BA263" s="77" t="s">
        <v>1774</v>
      </c>
      <c r="BC263" s="35">
        <f t="shared" si="249"/>
        <v>456</v>
      </c>
      <c r="BD263" s="35">
        <f t="shared" si="250"/>
        <v>19</v>
      </c>
      <c r="BE263" s="35">
        <v>0</v>
      </c>
      <c r="BF263" s="35">
        <f>263</f>
        <v>263</v>
      </c>
      <c r="BH263" s="65">
        <f t="shared" si="251"/>
        <v>456</v>
      </c>
      <c r="BI263" s="65">
        <f t="shared" si="252"/>
        <v>0</v>
      </c>
      <c r="BJ263" s="65">
        <f t="shared" si="253"/>
        <v>456</v>
      </c>
      <c r="BK263" s="65" t="s">
        <v>1642</v>
      </c>
      <c r="BL263" s="35">
        <v>766</v>
      </c>
    </row>
    <row r="264" spans="1:64">
      <c r="A264" s="48" t="s">
        <v>386</v>
      </c>
      <c r="B264" s="56" t="s">
        <v>61</v>
      </c>
      <c r="C264" s="56" t="s">
        <v>890</v>
      </c>
      <c r="D264" s="170" t="s">
        <v>1300</v>
      </c>
      <c r="E264" s="171"/>
      <c r="F264" s="171"/>
      <c r="G264" s="56" t="s">
        <v>1631</v>
      </c>
      <c r="H264" s="65">
        <v>8</v>
      </c>
      <c r="I264" s="65">
        <v>43</v>
      </c>
      <c r="J264" s="65">
        <f t="shared" si="232"/>
        <v>344</v>
      </c>
      <c r="K264" s="65">
        <f t="shared" si="233"/>
        <v>0</v>
      </c>
      <c r="L264" s="65">
        <f t="shared" si="234"/>
        <v>344</v>
      </c>
      <c r="M264" s="74" t="s">
        <v>1657</v>
      </c>
      <c r="N264" s="19"/>
      <c r="Z264" s="35">
        <f t="shared" si="235"/>
        <v>0</v>
      </c>
      <c r="AB264" s="35">
        <f t="shared" si="236"/>
        <v>0</v>
      </c>
      <c r="AC264" s="35">
        <f t="shared" si="237"/>
        <v>0</v>
      </c>
      <c r="AD264" s="35">
        <f t="shared" si="238"/>
        <v>344</v>
      </c>
      <c r="AE264" s="35">
        <f t="shared" si="239"/>
        <v>0</v>
      </c>
      <c r="AF264" s="35">
        <f t="shared" si="240"/>
        <v>0</v>
      </c>
      <c r="AG264" s="35">
        <f t="shared" si="241"/>
        <v>0</v>
      </c>
      <c r="AH264" s="35">
        <f t="shared" si="242"/>
        <v>0</v>
      </c>
      <c r="AI264" s="77" t="s">
        <v>61</v>
      </c>
      <c r="AJ264" s="65">
        <f t="shared" si="243"/>
        <v>0</v>
      </c>
      <c r="AK264" s="65">
        <f t="shared" si="244"/>
        <v>0</v>
      </c>
      <c r="AL264" s="65">
        <f t="shared" si="245"/>
        <v>344</v>
      </c>
      <c r="AN264" s="35">
        <v>21</v>
      </c>
      <c r="AO264" s="35">
        <f>I264*1</f>
        <v>43</v>
      </c>
      <c r="AP264" s="35">
        <f>I264*(1-1)</f>
        <v>0</v>
      </c>
      <c r="AQ264" s="79" t="s">
        <v>235</v>
      </c>
      <c r="AV264" s="35">
        <f t="shared" si="246"/>
        <v>344</v>
      </c>
      <c r="AW264" s="35">
        <f t="shared" si="247"/>
        <v>344</v>
      </c>
      <c r="AX264" s="35">
        <f t="shared" si="248"/>
        <v>0</v>
      </c>
      <c r="AY264" s="80" t="s">
        <v>1691</v>
      </c>
      <c r="AZ264" s="80" t="s">
        <v>1734</v>
      </c>
      <c r="BA264" s="77" t="s">
        <v>1774</v>
      </c>
      <c r="BC264" s="35">
        <f t="shared" si="249"/>
        <v>344</v>
      </c>
      <c r="BD264" s="35">
        <f t="shared" si="250"/>
        <v>43</v>
      </c>
      <c r="BE264" s="35">
        <v>0</v>
      </c>
      <c r="BF264" s="35">
        <f>264</f>
        <v>264</v>
      </c>
      <c r="BH264" s="65">
        <f t="shared" si="251"/>
        <v>344</v>
      </c>
      <c r="BI264" s="65">
        <f t="shared" si="252"/>
        <v>0</v>
      </c>
      <c r="BJ264" s="65">
        <f t="shared" si="253"/>
        <v>344</v>
      </c>
      <c r="BK264" s="65" t="s">
        <v>1642</v>
      </c>
      <c r="BL264" s="35">
        <v>766</v>
      </c>
    </row>
    <row r="265" spans="1:64">
      <c r="A265" s="47" t="s">
        <v>387</v>
      </c>
      <c r="B265" s="55" t="s">
        <v>61</v>
      </c>
      <c r="C265" s="55" t="s">
        <v>767</v>
      </c>
      <c r="D265" s="165" t="s">
        <v>1301</v>
      </c>
      <c r="E265" s="166"/>
      <c r="F265" s="166"/>
      <c r="G265" s="55" t="s">
        <v>1632</v>
      </c>
      <c r="H265" s="64">
        <v>21.6</v>
      </c>
      <c r="I265" s="64">
        <v>115</v>
      </c>
      <c r="J265" s="64">
        <f t="shared" si="232"/>
        <v>0</v>
      </c>
      <c r="K265" s="64">
        <f t="shared" si="233"/>
        <v>2484</v>
      </c>
      <c r="L265" s="64">
        <f t="shared" si="234"/>
        <v>2484</v>
      </c>
      <c r="M265" s="73" t="s">
        <v>1658</v>
      </c>
      <c r="N265" s="19"/>
      <c r="Z265" s="35">
        <f t="shared" si="235"/>
        <v>0</v>
      </c>
      <c r="AB265" s="35">
        <f t="shared" si="236"/>
        <v>0</v>
      </c>
      <c r="AC265" s="35">
        <f t="shared" si="237"/>
        <v>0</v>
      </c>
      <c r="AD265" s="35">
        <f t="shared" si="238"/>
        <v>0</v>
      </c>
      <c r="AE265" s="35">
        <f t="shared" si="239"/>
        <v>2484</v>
      </c>
      <c r="AF265" s="35">
        <f t="shared" si="240"/>
        <v>0</v>
      </c>
      <c r="AG265" s="35">
        <f t="shared" si="241"/>
        <v>0</v>
      </c>
      <c r="AH265" s="35">
        <f t="shared" si="242"/>
        <v>0</v>
      </c>
      <c r="AI265" s="77" t="s">
        <v>61</v>
      </c>
      <c r="AJ265" s="64">
        <f t="shared" si="243"/>
        <v>0</v>
      </c>
      <c r="AK265" s="64">
        <f t="shared" si="244"/>
        <v>0</v>
      </c>
      <c r="AL265" s="64">
        <f t="shared" si="245"/>
        <v>2484</v>
      </c>
      <c r="AN265" s="35">
        <v>21</v>
      </c>
      <c r="AO265" s="35">
        <f>I265*0</f>
        <v>0</v>
      </c>
      <c r="AP265" s="35">
        <f>I265*(1-0)</f>
        <v>115</v>
      </c>
      <c r="AQ265" s="78" t="s">
        <v>235</v>
      </c>
      <c r="AV265" s="35">
        <f t="shared" si="246"/>
        <v>2484</v>
      </c>
      <c r="AW265" s="35">
        <f t="shared" si="247"/>
        <v>0</v>
      </c>
      <c r="AX265" s="35">
        <f t="shared" si="248"/>
        <v>2484</v>
      </c>
      <c r="AY265" s="80" t="s">
        <v>1691</v>
      </c>
      <c r="AZ265" s="80" t="s">
        <v>1734</v>
      </c>
      <c r="BA265" s="77" t="s">
        <v>1774</v>
      </c>
      <c r="BC265" s="35">
        <f t="shared" si="249"/>
        <v>2484</v>
      </c>
      <c r="BD265" s="35">
        <f t="shared" si="250"/>
        <v>114.99999999999999</v>
      </c>
      <c r="BE265" s="35">
        <v>0</v>
      </c>
      <c r="BF265" s="35">
        <f>265</f>
        <v>265</v>
      </c>
      <c r="BH265" s="64">
        <f t="shared" si="251"/>
        <v>0</v>
      </c>
      <c r="BI265" s="64">
        <f t="shared" si="252"/>
        <v>2484</v>
      </c>
      <c r="BJ265" s="64">
        <f t="shared" si="253"/>
        <v>2484</v>
      </c>
      <c r="BK265" s="64" t="s">
        <v>1790</v>
      </c>
      <c r="BL265" s="35">
        <v>766</v>
      </c>
    </row>
    <row r="266" spans="1:64">
      <c r="A266" s="47" t="s">
        <v>388</v>
      </c>
      <c r="B266" s="55" t="s">
        <v>61</v>
      </c>
      <c r="C266" s="55" t="s">
        <v>891</v>
      </c>
      <c r="D266" s="165" t="s">
        <v>1302</v>
      </c>
      <c r="E266" s="166"/>
      <c r="F266" s="166"/>
      <c r="G266" s="55" t="s">
        <v>1632</v>
      </c>
      <c r="H266" s="64">
        <v>21.6</v>
      </c>
      <c r="I266" s="64">
        <v>365</v>
      </c>
      <c r="J266" s="64">
        <f t="shared" si="232"/>
        <v>0</v>
      </c>
      <c r="K266" s="64">
        <f t="shared" si="233"/>
        <v>7884.0000000000009</v>
      </c>
      <c r="L266" s="64">
        <f t="shared" si="234"/>
        <v>7884.0000000000009</v>
      </c>
      <c r="M266" s="73" t="s">
        <v>1657</v>
      </c>
      <c r="N266" s="19"/>
      <c r="Z266" s="35">
        <f t="shared" si="235"/>
        <v>0</v>
      </c>
      <c r="AB266" s="35">
        <f t="shared" si="236"/>
        <v>0</v>
      </c>
      <c r="AC266" s="35">
        <f t="shared" si="237"/>
        <v>0</v>
      </c>
      <c r="AD266" s="35">
        <f t="shared" si="238"/>
        <v>0</v>
      </c>
      <c r="AE266" s="35">
        <f t="shared" si="239"/>
        <v>7884.0000000000009</v>
      </c>
      <c r="AF266" s="35">
        <f t="shared" si="240"/>
        <v>0</v>
      </c>
      <c r="AG266" s="35">
        <f t="shared" si="241"/>
        <v>0</v>
      </c>
      <c r="AH266" s="35">
        <f t="shared" si="242"/>
        <v>0</v>
      </c>
      <c r="AI266" s="77" t="s">
        <v>61</v>
      </c>
      <c r="AJ266" s="64">
        <f t="shared" si="243"/>
        <v>0</v>
      </c>
      <c r="AK266" s="64">
        <f t="shared" si="244"/>
        <v>0</v>
      </c>
      <c r="AL266" s="64">
        <f t="shared" si="245"/>
        <v>7884.0000000000009</v>
      </c>
      <c r="AN266" s="35">
        <v>21</v>
      </c>
      <c r="AO266" s="35">
        <f>I266*0</f>
        <v>0</v>
      </c>
      <c r="AP266" s="35">
        <f>I266*(1-0)</f>
        <v>365</v>
      </c>
      <c r="AQ266" s="78" t="s">
        <v>235</v>
      </c>
      <c r="AV266" s="35">
        <f t="shared" si="246"/>
        <v>7884.0000000000009</v>
      </c>
      <c r="AW266" s="35">
        <f t="shared" si="247"/>
        <v>0</v>
      </c>
      <c r="AX266" s="35">
        <f t="shared" si="248"/>
        <v>7884.0000000000009</v>
      </c>
      <c r="AY266" s="80" t="s">
        <v>1691</v>
      </c>
      <c r="AZ266" s="80" t="s">
        <v>1734</v>
      </c>
      <c r="BA266" s="77" t="s">
        <v>1774</v>
      </c>
      <c r="BC266" s="35">
        <f t="shared" si="249"/>
        <v>7884.0000000000009</v>
      </c>
      <c r="BD266" s="35">
        <f t="shared" si="250"/>
        <v>365</v>
      </c>
      <c r="BE266" s="35">
        <v>0</v>
      </c>
      <c r="BF266" s="35">
        <f>266</f>
        <v>266</v>
      </c>
      <c r="BH266" s="64">
        <f t="shared" si="251"/>
        <v>0</v>
      </c>
      <c r="BI266" s="64">
        <f t="shared" si="252"/>
        <v>7884.0000000000009</v>
      </c>
      <c r="BJ266" s="64">
        <f t="shared" si="253"/>
        <v>7884.0000000000009</v>
      </c>
      <c r="BK266" s="64" t="s">
        <v>1790</v>
      </c>
      <c r="BL266" s="35">
        <v>766</v>
      </c>
    </row>
    <row r="267" spans="1:64">
      <c r="A267" s="47" t="s">
        <v>389</v>
      </c>
      <c r="B267" s="55" t="s">
        <v>61</v>
      </c>
      <c r="C267" s="55" t="s">
        <v>892</v>
      </c>
      <c r="D267" s="165" t="s">
        <v>1303</v>
      </c>
      <c r="E267" s="166"/>
      <c r="F267" s="166"/>
      <c r="G267" s="55" t="s">
        <v>1634</v>
      </c>
      <c r="H267" s="64">
        <v>9.6908399999999997</v>
      </c>
      <c r="I267" s="64">
        <v>634</v>
      </c>
      <c r="J267" s="64">
        <f t="shared" si="232"/>
        <v>0</v>
      </c>
      <c r="K267" s="64">
        <f t="shared" si="233"/>
        <v>6143.9925599999997</v>
      </c>
      <c r="L267" s="64">
        <f t="shared" si="234"/>
        <v>6143.9925599999997</v>
      </c>
      <c r="M267" s="73" t="s">
        <v>1657</v>
      </c>
      <c r="N267" s="19"/>
      <c r="Z267" s="35">
        <f t="shared" si="235"/>
        <v>6143.9925599999997</v>
      </c>
      <c r="AB267" s="35">
        <f t="shared" si="236"/>
        <v>0</v>
      </c>
      <c r="AC267" s="35">
        <f t="shared" si="237"/>
        <v>0</v>
      </c>
      <c r="AD267" s="35">
        <f t="shared" si="238"/>
        <v>0</v>
      </c>
      <c r="AE267" s="35">
        <f t="shared" si="239"/>
        <v>0</v>
      </c>
      <c r="AF267" s="35">
        <f t="shared" si="240"/>
        <v>0</v>
      </c>
      <c r="AG267" s="35">
        <f t="shared" si="241"/>
        <v>0</v>
      </c>
      <c r="AH267" s="35">
        <f t="shared" si="242"/>
        <v>0</v>
      </c>
      <c r="AI267" s="77" t="s">
        <v>61</v>
      </c>
      <c r="AJ267" s="64">
        <f t="shared" si="243"/>
        <v>0</v>
      </c>
      <c r="AK267" s="64">
        <f t="shared" si="244"/>
        <v>0</v>
      </c>
      <c r="AL267" s="64">
        <f t="shared" si="245"/>
        <v>6143.9925599999997</v>
      </c>
      <c r="AN267" s="35">
        <v>21</v>
      </c>
      <c r="AO267" s="35">
        <f>I267*0</f>
        <v>0</v>
      </c>
      <c r="AP267" s="35">
        <f>I267*(1-0)</f>
        <v>634</v>
      </c>
      <c r="AQ267" s="78" t="s">
        <v>112</v>
      </c>
      <c r="AV267" s="35">
        <f t="shared" si="246"/>
        <v>6143.9925599999997</v>
      </c>
      <c r="AW267" s="35">
        <f t="shared" si="247"/>
        <v>0</v>
      </c>
      <c r="AX267" s="35">
        <f t="shared" si="248"/>
        <v>6143.9925599999997</v>
      </c>
      <c r="AY267" s="80" t="s">
        <v>1691</v>
      </c>
      <c r="AZ267" s="80" t="s">
        <v>1734</v>
      </c>
      <c r="BA267" s="77" t="s">
        <v>1774</v>
      </c>
      <c r="BC267" s="35">
        <f t="shared" si="249"/>
        <v>6143.9925599999997</v>
      </c>
      <c r="BD267" s="35">
        <f t="shared" si="250"/>
        <v>634</v>
      </c>
      <c r="BE267" s="35">
        <v>0</v>
      </c>
      <c r="BF267" s="35">
        <f>267</f>
        <v>267</v>
      </c>
      <c r="BH267" s="64">
        <f t="shared" si="251"/>
        <v>0</v>
      </c>
      <c r="BI267" s="64">
        <f t="shared" si="252"/>
        <v>6143.9925599999997</v>
      </c>
      <c r="BJ267" s="64">
        <f t="shared" si="253"/>
        <v>6143.9925599999997</v>
      </c>
      <c r="BK267" s="64" t="s">
        <v>1790</v>
      </c>
      <c r="BL267" s="35">
        <v>766</v>
      </c>
    </row>
    <row r="268" spans="1:64">
      <c r="A268" s="46"/>
      <c r="B268" s="54" t="s">
        <v>61</v>
      </c>
      <c r="C268" s="54" t="s">
        <v>153</v>
      </c>
      <c r="D268" s="163" t="s">
        <v>204</v>
      </c>
      <c r="E268" s="164"/>
      <c r="F268" s="164"/>
      <c r="G268" s="61" t="s">
        <v>57</v>
      </c>
      <c r="H268" s="61" t="s">
        <v>57</v>
      </c>
      <c r="I268" s="61" t="s">
        <v>57</v>
      </c>
      <c r="J268" s="83">
        <f>SUM(J269:J273)</f>
        <v>0</v>
      </c>
      <c r="K268" s="83">
        <f>SUM(K269:K273)</f>
        <v>138720.17250000002</v>
      </c>
      <c r="L268" s="83">
        <f>SUM(L269:L273)</f>
        <v>138720.17250000002</v>
      </c>
      <c r="M268" s="72"/>
      <c r="N268" s="19"/>
      <c r="AI268" s="77" t="s">
        <v>61</v>
      </c>
      <c r="AS268" s="83">
        <f>SUM(AJ269:AJ273)</f>
        <v>0</v>
      </c>
      <c r="AT268" s="83">
        <f>SUM(AK269:AK273)</f>
        <v>0</v>
      </c>
      <c r="AU268" s="83">
        <f>SUM(AL269:AL273)</f>
        <v>138720.17250000002</v>
      </c>
    </row>
    <row r="269" spans="1:64">
      <c r="A269" s="47" t="s">
        <v>390</v>
      </c>
      <c r="B269" s="55" t="s">
        <v>61</v>
      </c>
      <c r="C269" s="55" t="s">
        <v>893</v>
      </c>
      <c r="D269" s="165" t="s">
        <v>1304</v>
      </c>
      <c r="E269" s="166"/>
      <c r="F269" s="166"/>
      <c r="G269" s="55" t="s">
        <v>1632</v>
      </c>
      <c r="H269" s="64">
        <v>839.79</v>
      </c>
      <c r="I269" s="64">
        <v>10</v>
      </c>
      <c r="J269" s="64">
        <f>H269*AO269</f>
        <v>0</v>
      </c>
      <c r="K269" s="64">
        <f>H269*AP269</f>
        <v>8397.9</v>
      </c>
      <c r="L269" s="64">
        <f>H269*I269</f>
        <v>8397.9</v>
      </c>
      <c r="M269" s="73" t="s">
        <v>1657</v>
      </c>
      <c r="N269" s="19"/>
      <c r="Z269" s="35">
        <f>IF(AQ269="5",BJ269,0)</f>
        <v>0</v>
      </c>
      <c r="AB269" s="35">
        <f>IF(AQ269="1",BH269,0)</f>
        <v>0</v>
      </c>
      <c r="AC269" s="35">
        <f>IF(AQ269="1",BI269,0)</f>
        <v>0</v>
      </c>
      <c r="AD269" s="35">
        <f>IF(AQ269="7",BH269,0)</f>
        <v>0</v>
      </c>
      <c r="AE269" s="35">
        <f>IF(AQ269="7",BI269,0)</f>
        <v>8397.9</v>
      </c>
      <c r="AF269" s="35">
        <f>IF(AQ269="2",BH269,0)</f>
        <v>0</v>
      </c>
      <c r="AG269" s="35">
        <f>IF(AQ269="2",BI269,0)</f>
        <v>0</v>
      </c>
      <c r="AH269" s="35">
        <f>IF(AQ269="0",BJ269,0)</f>
        <v>0</v>
      </c>
      <c r="AI269" s="77" t="s">
        <v>61</v>
      </c>
      <c r="AJ269" s="64">
        <f>IF(AN269=0,L269,0)</f>
        <v>0</v>
      </c>
      <c r="AK269" s="64">
        <f>IF(AN269=15,L269,0)</f>
        <v>0</v>
      </c>
      <c r="AL269" s="64">
        <f>IF(AN269=21,L269,0)</f>
        <v>8397.9</v>
      </c>
      <c r="AN269" s="35">
        <v>21</v>
      </c>
      <c r="AO269" s="35">
        <f>I269*0</f>
        <v>0</v>
      </c>
      <c r="AP269" s="35">
        <f>I269*(1-0)</f>
        <v>10</v>
      </c>
      <c r="AQ269" s="78" t="s">
        <v>235</v>
      </c>
      <c r="AV269" s="35">
        <f>AW269+AX269</f>
        <v>8397.9</v>
      </c>
      <c r="AW269" s="35">
        <f>H269*AO269</f>
        <v>0</v>
      </c>
      <c r="AX269" s="35">
        <f>H269*AP269</f>
        <v>8397.9</v>
      </c>
      <c r="AY269" s="80" t="s">
        <v>1692</v>
      </c>
      <c r="AZ269" s="80" t="s">
        <v>1737</v>
      </c>
      <c r="BA269" s="77" t="s">
        <v>1774</v>
      </c>
      <c r="BC269" s="35">
        <f>AW269+AX269</f>
        <v>8397.9</v>
      </c>
      <c r="BD269" s="35">
        <f>I269/(100-BE269)*100</f>
        <v>10</v>
      </c>
      <c r="BE269" s="35">
        <v>0</v>
      </c>
      <c r="BF269" s="35">
        <f>269</f>
        <v>269</v>
      </c>
      <c r="BH269" s="64">
        <f>H269*AO269</f>
        <v>0</v>
      </c>
      <c r="BI269" s="64">
        <f>H269*AP269</f>
        <v>8397.9</v>
      </c>
      <c r="BJ269" s="64">
        <f>H269*I269</f>
        <v>8397.9</v>
      </c>
      <c r="BK269" s="64" t="s">
        <v>1790</v>
      </c>
      <c r="BL269" s="35">
        <v>784</v>
      </c>
    </row>
    <row r="270" spans="1:64">
      <c r="A270" s="19"/>
      <c r="C270" s="59" t="s">
        <v>730</v>
      </c>
      <c r="D270" s="167" t="s">
        <v>1305</v>
      </c>
      <c r="E270" s="168"/>
      <c r="F270" s="168"/>
      <c r="G270" s="168"/>
      <c r="H270" s="168"/>
      <c r="I270" s="168"/>
      <c r="J270" s="168"/>
      <c r="K270" s="168"/>
      <c r="L270" s="168"/>
      <c r="M270" s="169"/>
      <c r="N270" s="19"/>
    </row>
    <row r="271" spans="1:64">
      <c r="A271" s="47" t="s">
        <v>391</v>
      </c>
      <c r="B271" s="55" t="s">
        <v>61</v>
      </c>
      <c r="C271" s="55" t="s">
        <v>894</v>
      </c>
      <c r="D271" s="165" t="s">
        <v>1306</v>
      </c>
      <c r="E271" s="166"/>
      <c r="F271" s="166"/>
      <c r="G271" s="55" t="s">
        <v>1632</v>
      </c>
      <c r="H271" s="64">
        <v>824.82</v>
      </c>
      <c r="I271" s="64">
        <v>5</v>
      </c>
      <c r="J271" s="64">
        <f>H271*AO271</f>
        <v>0</v>
      </c>
      <c r="K271" s="64">
        <f>H271*AP271</f>
        <v>4124.1000000000004</v>
      </c>
      <c r="L271" s="64">
        <f>H271*I271</f>
        <v>4124.1000000000004</v>
      </c>
      <c r="M271" s="73" t="s">
        <v>1657</v>
      </c>
      <c r="N271" s="19"/>
      <c r="Z271" s="35">
        <f>IF(AQ271="5",BJ271,0)</f>
        <v>0</v>
      </c>
      <c r="AB271" s="35">
        <f>IF(AQ271="1",BH271,0)</f>
        <v>0</v>
      </c>
      <c r="AC271" s="35">
        <f>IF(AQ271="1",BI271,0)</f>
        <v>0</v>
      </c>
      <c r="AD271" s="35">
        <f>IF(AQ271="7",BH271,0)</f>
        <v>0</v>
      </c>
      <c r="AE271" s="35">
        <f>IF(AQ271="7",BI271,0)</f>
        <v>4124.1000000000004</v>
      </c>
      <c r="AF271" s="35">
        <f>IF(AQ271="2",BH271,0)</f>
        <v>0</v>
      </c>
      <c r="AG271" s="35">
        <f>IF(AQ271="2",BI271,0)</f>
        <v>0</v>
      </c>
      <c r="AH271" s="35">
        <f>IF(AQ271="0",BJ271,0)</f>
        <v>0</v>
      </c>
      <c r="AI271" s="77" t="s">
        <v>61</v>
      </c>
      <c r="AJ271" s="64">
        <f>IF(AN271=0,L271,0)</f>
        <v>0</v>
      </c>
      <c r="AK271" s="64">
        <f>IF(AN271=15,L271,0)</f>
        <v>0</v>
      </c>
      <c r="AL271" s="64">
        <f>IF(AN271=21,L271,0)</f>
        <v>4124.1000000000004</v>
      </c>
      <c r="AN271" s="35">
        <v>21</v>
      </c>
      <c r="AO271" s="35">
        <f>I271*0</f>
        <v>0</v>
      </c>
      <c r="AP271" s="35">
        <f>I271*(1-0)</f>
        <v>5</v>
      </c>
      <c r="AQ271" s="78" t="s">
        <v>235</v>
      </c>
      <c r="AV271" s="35">
        <f>AW271+AX271</f>
        <v>4124.1000000000004</v>
      </c>
      <c r="AW271" s="35">
        <f>H271*AO271</f>
        <v>0</v>
      </c>
      <c r="AX271" s="35">
        <f>H271*AP271</f>
        <v>4124.1000000000004</v>
      </c>
      <c r="AY271" s="80" t="s">
        <v>1692</v>
      </c>
      <c r="AZ271" s="80" t="s">
        <v>1737</v>
      </c>
      <c r="BA271" s="77" t="s">
        <v>1774</v>
      </c>
      <c r="BC271" s="35">
        <f>AW271+AX271</f>
        <v>4124.1000000000004</v>
      </c>
      <c r="BD271" s="35">
        <f>I271/(100-BE271)*100</f>
        <v>5</v>
      </c>
      <c r="BE271" s="35">
        <v>0</v>
      </c>
      <c r="BF271" s="35">
        <f>271</f>
        <v>271</v>
      </c>
      <c r="BH271" s="64">
        <f>H271*AO271</f>
        <v>0</v>
      </c>
      <c r="BI271" s="64">
        <f>H271*AP271</f>
        <v>4124.1000000000004</v>
      </c>
      <c r="BJ271" s="64">
        <f>H271*I271</f>
        <v>4124.1000000000004</v>
      </c>
      <c r="BK271" s="64" t="s">
        <v>1790</v>
      </c>
      <c r="BL271" s="35">
        <v>784</v>
      </c>
    </row>
    <row r="272" spans="1:64">
      <c r="A272" s="19"/>
      <c r="C272" s="59" t="s">
        <v>730</v>
      </c>
      <c r="D272" s="167" t="s">
        <v>1307</v>
      </c>
      <c r="E272" s="168"/>
      <c r="F272" s="168"/>
      <c r="G272" s="168"/>
      <c r="H272" s="168"/>
      <c r="I272" s="168"/>
      <c r="J272" s="168"/>
      <c r="K272" s="168"/>
      <c r="L272" s="168"/>
      <c r="M272" s="169"/>
      <c r="N272" s="19"/>
    </row>
    <row r="273" spans="1:64">
      <c r="A273" s="47" t="s">
        <v>392</v>
      </c>
      <c r="B273" s="55" t="s">
        <v>61</v>
      </c>
      <c r="C273" s="55" t="s">
        <v>895</v>
      </c>
      <c r="D273" s="165" t="s">
        <v>1308</v>
      </c>
      <c r="E273" s="166"/>
      <c r="F273" s="166"/>
      <c r="G273" s="55" t="s">
        <v>1632</v>
      </c>
      <c r="H273" s="64">
        <v>2068.8225000000002</v>
      </c>
      <c r="I273" s="64">
        <v>61</v>
      </c>
      <c r="J273" s="64">
        <f>H273*AO273</f>
        <v>0</v>
      </c>
      <c r="K273" s="64">
        <f>H273*AP273</f>
        <v>126198.17250000002</v>
      </c>
      <c r="L273" s="64">
        <f>H273*I273</f>
        <v>126198.17250000002</v>
      </c>
      <c r="M273" s="73" t="s">
        <v>1659</v>
      </c>
      <c r="N273" s="19"/>
      <c r="Z273" s="35">
        <f>IF(AQ273="5",BJ273,0)</f>
        <v>0</v>
      </c>
      <c r="AB273" s="35">
        <f>IF(AQ273="1",BH273,0)</f>
        <v>0</v>
      </c>
      <c r="AC273" s="35">
        <f>IF(AQ273="1",BI273,0)</f>
        <v>0</v>
      </c>
      <c r="AD273" s="35">
        <f>IF(AQ273="7",BH273,0)</f>
        <v>0</v>
      </c>
      <c r="AE273" s="35">
        <f>IF(AQ273="7",BI273,0)</f>
        <v>126198.17250000002</v>
      </c>
      <c r="AF273" s="35">
        <f>IF(AQ273="2",BH273,0)</f>
        <v>0</v>
      </c>
      <c r="AG273" s="35">
        <f>IF(AQ273="2",BI273,0)</f>
        <v>0</v>
      </c>
      <c r="AH273" s="35">
        <f>IF(AQ273="0",BJ273,0)</f>
        <v>0</v>
      </c>
      <c r="AI273" s="77" t="s">
        <v>61</v>
      </c>
      <c r="AJ273" s="64">
        <f>IF(AN273=0,L273,0)</f>
        <v>0</v>
      </c>
      <c r="AK273" s="64">
        <f>IF(AN273=15,L273,0)</f>
        <v>0</v>
      </c>
      <c r="AL273" s="64">
        <f>IF(AN273=21,L273,0)</f>
        <v>126198.17250000002</v>
      </c>
      <c r="AN273" s="35">
        <v>21</v>
      </c>
      <c r="AO273" s="35">
        <f>I273*0</f>
        <v>0</v>
      </c>
      <c r="AP273" s="35">
        <f>I273*(1-0)</f>
        <v>61</v>
      </c>
      <c r="AQ273" s="78" t="s">
        <v>235</v>
      </c>
      <c r="AV273" s="35">
        <f>AW273+AX273</f>
        <v>126198.17250000002</v>
      </c>
      <c r="AW273" s="35">
        <f>H273*AO273</f>
        <v>0</v>
      </c>
      <c r="AX273" s="35">
        <f>H273*AP273</f>
        <v>126198.17250000002</v>
      </c>
      <c r="AY273" s="80" t="s">
        <v>1692</v>
      </c>
      <c r="AZ273" s="80" t="s">
        <v>1737</v>
      </c>
      <c r="BA273" s="77" t="s">
        <v>1774</v>
      </c>
      <c r="BC273" s="35">
        <f>AW273+AX273</f>
        <v>126198.17250000002</v>
      </c>
      <c r="BD273" s="35">
        <f>I273/(100-BE273)*100</f>
        <v>61</v>
      </c>
      <c r="BE273" s="35">
        <v>0</v>
      </c>
      <c r="BF273" s="35">
        <f>273</f>
        <v>273</v>
      </c>
      <c r="BH273" s="64">
        <f>H273*AO273</f>
        <v>0</v>
      </c>
      <c r="BI273" s="64">
        <f>H273*AP273</f>
        <v>126198.17250000002</v>
      </c>
      <c r="BJ273" s="64">
        <f>H273*I273</f>
        <v>126198.17250000002</v>
      </c>
      <c r="BK273" s="64" t="s">
        <v>1790</v>
      </c>
      <c r="BL273" s="35">
        <v>784</v>
      </c>
    </row>
    <row r="274" spans="1:64">
      <c r="A274" s="19"/>
      <c r="C274" s="59" t="s">
        <v>730</v>
      </c>
      <c r="D274" s="167" t="s">
        <v>1309</v>
      </c>
      <c r="E274" s="168"/>
      <c r="F274" s="168"/>
      <c r="G274" s="168"/>
      <c r="H274" s="168"/>
      <c r="I274" s="168"/>
      <c r="J274" s="168"/>
      <c r="K274" s="168"/>
      <c r="L274" s="168"/>
      <c r="M274" s="169"/>
      <c r="N274" s="19"/>
    </row>
    <row r="275" spans="1:64">
      <c r="A275" s="46"/>
      <c r="B275" s="54" t="s">
        <v>61</v>
      </c>
      <c r="C275" s="54" t="s">
        <v>154</v>
      </c>
      <c r="D275" s="163" t="s">
        <v>205</v>
      </c>
      <c r="E275" s="164"/>
      <c r="F275" s="164"/>
      <c r="G275" s="61" t="s">
        <v>57</v>
      </c>
      <c r="H275" s="61" t="s">
        <v>57</v>
      </c>
      <c r="I275" s="61" t="s">
        <v>57</v>
      </c>
      <c r="J275" s="83">
        <f>SUM(J276:J276)</f>
        <v>0</v>
      </c>
      <c r="K275" s="83">
        <f>SUM(K276:K276)</f>
        <v>4301.5185000000001</v>
      </c>
      <c r="L275" s="83">
        <f>SUM(L276:L276)</f>
        <v>4301.5185000000001</v>
      </c>
      <c r="M275" s="72"/>
      <c r="N275" s="19"/>
      <c r="AI275" s="77" t="s">
        <v>61</v>
      </c>
      <c r="AS275" s="83">
        <f>SUM(AJ276:AJ276)</f>
        <v>0</v>
      </c>
      <c r="AT275" s="83">
        <f>SUM(AK276:AK276)</f>
        <v>0</v>
      </c>
      <c r="AU275" s="83">
        <f>SUM(AL276:AL276)</f>
        <v>4301.5185000000001</v>
      </c>
    </row>
    <row r="276" spans="1:64">
      <c r="A276" s="47" t="s">
        <v>393</v>
      </c>
      <c r="B276" s="55" t="s">
        <v>61</v>
      </c>
      <c r="C276" s="55" t="s">
        <v>792</v>
      </c>
      <c r="D276" s="165" t="s">
        <v>1195</v>
      </c>
      <c r="E276" s="166"/>
      <c r="F276" s="166"/>
      <c r="G276" s="55" t="s">
        <v>1634</v>
      </c>
      <c r="H276" s="64">
        <v>15.93155</v>
      </c>
      <c r="I276" s="64">
        <v>270</v>
      </c>
      <c r="J276" s="64">
        <f>H276*AO276</f>
        <v>0</v>
      </c>
      <c r="K276" s="64">
        <f>H276*AP276</f>
        <v>4301.5185000000001</v>
      </c>
      <c r="L276" s="64">
        <f>H276*I276</f>
        <v>4301.5185000000001</v>
      </c>
      <c r="M276" s="73" t="s">
        <v>1657</v>
      </c>
      <c r="N276" s="19"/>
      <c r="Z276" s="35">
        <f>IF(AQ276="5",BJ276,0)</f>
        <v>4301.5185000000001</v>
      </c>
      <c r="AB276" s="35">
        <f>IF(AQ276="1",BH276,0)</f>
        <v>0</v>
      </c>
      <c r="AC276" s="35">
        <f>IF(AQ276="1",BI276,0)</f>
        <v>0</v>
      </c>
      <c r="AD276" s="35">
        <f>IF(AQ276="7",BH276,0)</f>
        <v>0</v>
      </c>
      <c r="AE276" s="35">
        <f>IF(AQ276="7",BI276,0)</f>
        <v>0</v>
      </c>
      <c r="AF276" s="35">
        <f>IF(AQ276="2",BH276,0)</f>
        <v>0</v>
      </c>
      <c r="AG276" s="35">
        <f>IF(AQ276="2",BI276,0)</f>
        <v>0</v>
      </c>
      <c r="AH276" s="35">
        <f>IF(AQ276="0",BJ276,0)</f>
        <v>0</v>
      </c>
      <c r="AI276" s="77" t="s">
        <v>61</v>
      </c>
      <c r="AJ276" s="64">
        <f>IF(AN276=0,L276,0)</f>
        <v>0</v>
      </c>
      <c r="AK276" s="64">
        <f>IF(AN276=15,L276,0)</f>
        <v>0</v>
      </c>
      <c r="AL276" s="64">
        <f>IF(AN276=21,L276,0)</f>
        <v>4301.5185000000001</v>
      </c>
      <c r="AN276" s="35">
        <v>21</v>
      </c>
      <c r="AO276" s="35">
        <f>I276*0</f>
        <v>0</v>
      </c>
      <c r="AP276" s="35">
        <f>I276*(1-0)</f>
        <v>270</v>
      </c>
      <c r="AQ276" s="78" t="s">
        <v>112</v>
      </c>
      <c r="AV276" s="35">
        <f>AW276+AX276</f>
        <v>4301.5185000000001</v>
      </c>
      <c r="AW276" s="35">
        <f>H276*AO276</f>
        <v>0</v>
      </c>
      <c r="AX276" s="35">
        <f>H276*AP276</f>
        <v>4301.5185000000001</v>
      </c>
      <c r="AY276" s="80" t="s">
        <v>1693</v>
      </c>
      <c r="AZ276" s="80" t="s">
        <v>1735</v>
      </c>
      <c r="BA276" s="77" t="s">
        <v>1774</v>
      </c>
      <c r="BC276" s="35">
        <f>AW276+AX276</f>
        <v>4301.5185000000001</v>
      </c>
      <c r="BD276" s="35">
        <f>I276/(100-BE276)*100</f>
        <v>270</v>
      </c>
      <c r="BE276" s="35">
        <v>0</v>
      </c>
      <c r="BF276" s="35">
        <f>276</f>
        <v>276</v>
      </c>
      <c r="BH276" s="64">
        <f>H276*AO276</f>
        <v>0</v>
      </c>
      <c r="BI276" s="64">
        <f>H276*AP276</f>
        <v>4301.5185000000001</v>
      </c>
      <c r="BJ276" s="64">
        <f>H276*I276</f>
        <v>4301.5185000000001</v>
      </c>
      <c r="BK276" s="64" t="s">
        <v>1790</v>
      </c>
      <c r="BL276" s="35" t="s">
        <v>154</v>
      </c>
    </row>
    <row r="277" spans="1:64">
      <c r="A277" s="49"/>
      <c r="B277" s="57" t="s">
        <v>62</v>
      </c>
      <c r="C277" s="57"/>
      <c r="D277" s="172" t="s">
        <v>78</v>
      </c>
      <c r="E277" s="173"/>
      <c r="F277" s="173"/>
      <c r="G277" s="62" t="s">
        <v>57</v>
      </c>
      <c r="H277" s="62" t="s">
        <v>57</v>
      </c>
      <c r="I277" s="62" t="s">
        <v>57</v>
      </c>
      <c r="J277" s="84">
        <f>J278+J285+J290+J303+J306</f>
        <v>0</v>
      </c>
      <c r="K277" s="84">
        <f>K278+K285+K290+K303+K306</f>
        <v>33325.002800000002</v>
      </c>
      <c r="L277" s="84">
        <f>L278+L285+L290+L303+L306</f>
        <v>33325.002800000002</v>
      </c>
      <c r="M277" s="75"/>
      <c r="N277" s="19"/>
    </row>
    <row r="278" spans="1:64">
      <c r="A278" s="46"/>
      <c r="B278" s="54" t="s">
        <v>62</v>
      </c>
      <c r="C278" s="54" t="s">
        <v>155</v>
      </c>
      <c r="D278" s="163" t="s">
        <v>206</v>
      </c>
      <c r="E278" s="164"/>
      <c r="F278" s="164"/>
      <c r="G278" s="61" t="s">
        <v>57</v>
      </c>
      <c r="H278" s="61" t="s">
        <v>57</v>
      </c>
      <c r="I278" s="61" t="s">
        <v>57</v>
      </c>
      <c r="J278" s="83">
        <f>SUM(J279:J283)</f>
        <v>0</v>
      </c>
      <c r="K278" s="83">
        <f>SUM(K279:K283)</f>
        <v>675.55600000000004</v>
      </c>
      <c r="L278" s="83">
        <f>SUM(L279:L283)</f>
        <v>675.55600000000004</v>
      </c>
      <c r="M278" s="72"/>
      <c r="N278" s="19"/>
      <c r="AI278" s="77" t="s">
        <v>62</v>
      </c>
      <c r="AS278" s="83">
        <f>SUM(AJ279:AJ283)</f>
        <v>0</v>
      </c>
      <c r="AT278" s="83">
        <f>SUM(AK279:AK283)</f>
        <v>0</v>
      </c>
      <c r="AU278" s="83">
        <f>SUM(AL279:AL283)</f>
        <v>675.55600000000004</v>
      </c>
    </row>
    <row r="279" spans="1:64">
      <c r="A279" s="47" t="s">
        <v>394</v>
      </c>
      <c r="B279" s="55" t="s">
        <v>62</v>
      </c>
      <c r="C279" s="55" t="s">
        <v>896</v>
      </c>
      <c r="D279" s="165" t="s">
        <v>1310</v>
      </c>
      <c r="E279" s="166"/>
      <c r="F279" s="166"/>
      <c r="G279" s="55" t="s">
        <v>1640</v>
      </c>
      <c r="H279" s="64">
        <v>1</v>
      </c>
      <c r="I279" s="64">
        <v>500</v>
      </c>
      <c r="J279" s="64">
        <f>H279*AO279</f>
        <v>0</v>
      </c>
      <c r="K279" s="64">
        <f>H279*AP279</f>
        <v>500</v>
      </c>
      <c r="L279" s="64">
        <f>H279*I279</f>
        <v>500</v>
      </c>
      <c r="M279" s="73"/>
      <c r="N279" s="19"/>
      <c r="Z279" s="35">
        <f>IF(AQ279="5",BJ279,0)</f>
        <v>0</v>
      </c>
      <c r="AB279" s="35">
        <f>IF(AQ279="1",BH279,0)</f>
        <v>0</v>
      </c>
      <c r="AC279" s="35">
        <f>IF(AQ279="1",BI279,0)</f>
        <v>0</v>
      </c>
      <c r="AD279" s="35">
        <f>IF(AQ279="7",BH279,0)</f>
        <v>0</v>
      </c>
      <c r="AE279" s="35">
        <f>IF(AQ279="7",BI279,0)</f>
        <v>500</v>
      </c>
      <c r="AF279" s="35">
        <f>IF(AQ279="2",BH279,0)</f>
        <v>0</v>
      </c>
      <c r="AG279" s="35">
        <f>IF(AQ279="2",BI279,0)</f>
        <v>0</v>
      </c>
      <c r="AH279" s="35">
        <f>IF(AQ279="0",BJ279,0)</f>
        <v>0</v>
      </c>
      <c r="AI279" s="77" t="s">
        <v>62</v>
      </c>
      <c r="AJ279" s="64">
        <f>IF(AN279=0,L279,0)</f>
        <v>0</v>
      </c>
      <c r="AK279" s="64">
        <f>IF(AN279=15,L279,0)</f>
        <v>0</v>
      </c>
      <c r="AL279" s="64">
        <f>IF(AN279=21,L279,0)</f>
        <v>500</v>
      </c>
      <c r="AN279" s="35">
        <v>21</v>
      </c>
      <c r="AO279" s="35">
        <f>I279*0</f>
        <v>0</v>
      </c>
      <c r="AP279" s="35">
        <f>I279*(1-0)</f>
        <v>500</v>
      </c>
      <c r="AQ279" s="78" t="s">
        <v>235</v>
      </c>
      <c r="AV279" s="35">
        <f>AW279+AX279</f>
        <v>500</v>
      </c>
      <c r="AW279" s="35">
        <f>H279*AO279</f>
        <v>0</v>
      </c>
      <c r="AX279" s="35">
        <f>H279*AP279</f>
        <v>500</v>
      </c>
      <c r="AY279" s="80" t="s">
        <v>1694</v>
      </c>
      <c r="AZ279" s="80" t="s">
        <v>1738</v>
      </c>
      <c r="BA279" s="77" t="s">
        <v>1775</v>
      </c>
      <c r="BC279" s="35">
        <f>AW279+AX279</f>
        <v>500</v>
      </c>
      <c r="BD279" s="35">
        <f>I279/(100-BE279)*100</f>
        <v>500</v>
      </c>
      <c r="BE279" s="35">
        <v>0</v>
      </c>
      <c r="BF279" s="35">
        <f>279</f>
        <v>279</v>
      </c>
      <c r="BH279" s="64">
        <f>H279*AO279</f>
        <v>0</v>
      </c>
      <c r="BI279" s="64">
        <f>H279*AP279</f>
        <v>500</v>
      </c>
      <c r="BJ279" s="64">
        <f>H279*I279</f>
        <v>500</v>
      </c>
      <c r="BK279" s="64" t="s">
        <v>1790</v>
      </c>
      <c r="BL279" s="35">
        <v>732</v>
      </c>
    </row>
    <row r="280" spans="1:64">
      <c r="A280" s="19"/>
      <c r="C280" s="59" t="s">
        <v>730</v>
      </c>
      <c r="D280" s="167" t="s">
        <v>1310</v>
      </c>
      <c r="E280" s="168"/>
      <c r="F280" s="168"/>
      <c r="G280" s="168"/>
      <c r="H280" s="168"/>
      <c r="I280" s="168"/>
      <c r="J280" s="168"/>
      <c r="K280" s="168"/>
      <c r="L280" s="168"/>
      <c r="M280" s="169"/>
      <c r="N280" s="19"/>
    </row>
    <row r="281" spans="1:64">
      <c r="A281" s="47" t="s">
        <v>395</v>
      </c>
      <c r="B281" s="55" t="s">
        <v>62</v>
      </c>
      <c r="C281" s="55" t="s">
        <v>897</v>
      </c>
      <c r="D281" s="165" t="s">
        <v>1311</v>
      </c>
      <c r="E281" s="166"/>
      <c r="F281" s="166"/>
      <c r="G281" s="55" t="s">
        <v>1641</v>
      </c>
      <c r="H281" s="64">
        <v>1</v>
      </c>
      <c r="I281" s="64">
        <v>137</v>
      </c>
      <c r="J281" s="64">
        <f>H281*AO281</f>
        <v>0</v>
      </c>
      <c r="K281" s="64">
        <f>H281*AP281</f>
        <v>137</v>
      </c>
      <c r="L281" s="64">
        <f>H281*I281</f>
        <v>137</v>
      </c>
      <c r="M281" s="73" t="s">
        <v>1660</v>
      </c>
      <c r="N281" s="19"/>
      <c r="Z281" s="35">
        <f>IF(AQ281="5",BJ281,0)</f>
        <v>0</v>
      </c>
      <c r="AB281" s="35">
        <f>IF(AQ281="1",BH281,0)</f>
        <v>0</v>
      </c>
      <c r="AC281" s="35">
        <f>IF(AQ281="1",BI281,0)</f>
        <v>0</v>
      </c>
      <c r="AD281" s="35">
        <f>IF(AQ281="7",BH281,0)</f>
        <v>0</v>
      </c>
      <c r="AE281" s="35">
        <f>IF(AQ281="7",BI281,0)</f>
        <v>137</v>
      </c>
      <c r="AF281" s="35">
        <f>IF(AQ281="2",BH281,0)</f>
        <v>0</v>
      </c>
      <c r="AG281" s="35">
        <f>IF(AQ281="2",BI281,0)</f>
        <v>0</v>
      </c>
      <c r="AH281" s="35">
        <f>IF(AQ281="0",BJ281,0)</f>
        <v>0</v>
      </c>
      <c r="AI281" s="77" t="s">
        <v>62</v>
      </c>
      <c r="AJ281" s="64">
        <f>IF(AN281=0,L281,0)</f>
        <v>0</v>
      </c>
      <c r="AK281" s="64">
        <f>IF(AN281=15,L281,0)</f>
        <v>0</v>
      </c>
      <c r="AL281" s="64">
        <f>IF(AN281=21,L281,0)</f>
        <v>137</v>
      </c>
      <c r="AN281" s="35">
        <v>21</v>
      </c>
      <c r="AO281" s="35">
        <f>I281*0</f>
        <v>0</v>
      </c>
      <c r="AP281" s="35">
        <f>I281*(1-0)</f>
        <v>137</v>
      </c>
      <c r="AQ281" s="78" t="s">
        <v>235</v>
      </c>
      <c r="AV281" s="35">
        <f>AW281+AX281</f>
        <v>137</v>
      </c>
      <c r="AW281" s="35">
        <f>H281*AO281</f>
        <v>0</v>
      </c>
      <c r="AX281" s="35">
        <f>H281*AP281</f>
        <v>137</v>
      </c>
      <c r="AY281" s="80" t="s">
        <v>1694</v>
      </c>
      <c r="AZ281" s="80" t="s">
        <v>1738</v>
      </c>
      <c r="BA281" s="77" t="s">
        <v>1775</v>
      </c>
      <c r="BC281" s="35">
        <f>AW281+AX281</f>
        <v>137</v>
      </c>
      <c r="BD281" s="35">
        <f>I281/(100-BE281)*100</f>
        <v>137</v>
      </c>
      <c r="BE281" s="35">
        <v>0</v>
      </c>
      <c r="BF281" s="35">
        <f>281</f>
        <v>281</v>
      </c>
      <c r="BH281" s="64">
        <f>H281*AO281</f>
        <v>0</v>
      </c>
      <c r="BI281" s="64">
        <f>H281*AP281</f>
        <v>137</v>
      </c>
      <c r="BJ281" s="64">
        <f>H281*I281</f>
        <v>137</v>
      </c>
      <c r="BK281" s="64" t="s">
        <v>1790</v>
      </c>
      <c r="BL281" s="35">
        <v>732</v>
      </c>
    </row>
    <row r="282" spans="1:64">
      <c r="A282" s="19"/>
      <c r="C282" s="59" t="s">
        <v>730</v>
      </c>
      <c r="D282" s="167" t="s">
        <v>1312</v>
      </c>
      <c r="E282" s="168"/>
      <c r="F282" s="168"/>
      <c r="G282" s="168"/>
      <c r="H282" s="168"/>
      <c r="I282" s="168"/>
      <c r="J282" s="168"/>
      <c r="K282" s="168"/>
      <c r="L282" s="168"/>
      <c r="M282" s="169"/>
      <c r="N282" s="19"/>
    </row>
    <row r="283" spans="1:64">
      <c r="A283" s="47" t="s">
        <v>396</v>
      </c>
      <c r="B283" s="55" t="s">
        <v>62</v>
      </c>
      <c r="C283" s="55" t="s">
        <v>898</v>
      </c>
      <c r="D283" s="165" t="s">
        <v>1313</v>
      </c>
      <c r="E283" s="166"/>
      <c r="F283" s="166"/>
      <c r="G283" s="55" t="s">
        <v>129</v>
      </c>
      <c r="H283" s="64">
        <v>2.1000000000000001E-2</v>
      </c>
      <c r="I283" s="64">
        <v>1836</v>
      </c>
      <c r="J283" s="64">
        <f>H283*AO283</f>
        <v>0</v>
      </c>
      <c r="K283" s="64">
        <f>H283*AP283</f>
        <v>38.556000000000004</v>
      </c>
      <c r="L283" s="64">
        <f>H283*I283</f>
        <v>38.556000000000004</v>
      </c>
      <c r="M283" s="73" t="s">
        <v>1660</v>
      </c>
      <c r="N283" s="19"/>
      <c r="Z283" s="35">
        <f>IF(AQ283="5",BJ283,0)</f>
        <v>0</v>
      </c>
      <c r="AB283" s="35">
        <f>IF(AQ283="1",BH283,0)</f>
        <v>0</v>
      </c>
      <c r="AC283" s="35">
        <f>IF(AQ283="1",BI283,0)</f>
        <v>0</v>
      </c>
      <c r="AD283" s="35">
        <f>IF(AQ283="7",BH283,0)</f>
        <v>0</v>
      </c>
      <c r="AE283" s="35">
        <f>IF(AQ283="7",BI283,0)</f>
        <v>38.556000000000004</v>
      </c>
      <c r="AF283" s="35">
        <f>IF(AQ283="2",BH283,0)</f>
        <v>0</v>
      </c>
      <c r="AG283" s="35">
        <f>IF(AQ283="2",BI283,0)</f>
        <v>0</v>
      </c>
      <c r="AH283" s="35">
        <f>IF(AQ283="0",BJ283,0)</f>
        <v>0</v>
      </c>
      <c r="AI283" s="77" t="s">
        <v>62</v>
      </c>
      <c r="AJ283" s="64">
        <f>IF(AN283=0,L283,0)</f>
        <v>0</v>
      </c>
      <c r="AK283" s="64">
        <f>IF(AN283=15,L283,0)</f>
        <v>0</v>
      </c>
      <c r="AL283" s="64">
        <f>IF(AN283=21,L283,0)</f>
        <v>38.556000000000004</v>
      </c>
      <c r="AN283" s="35">
        <v>21</v>
      </c>
      <c r="AO283" s="35">
        <f>I283*0</f>
        <v>0</v>
      </c>
      <c r="AP283" s="35">
        <f>I283*(1-0)</f>
        <v>1836</v>
      </c>
      <c r="AQ283" s="78" t="s">
        <v>235</v>
      </c>
      <c r="AV283" s="35">
        <f>AW283+AX283</f>
        <v>38.556000000000004</v>
      </c>
      <c r="AW283" s="35">
        <f>H283*AO283</f>
        <v>0</v>
      </c>
      <c r="AX283" s="35">
        <f>H283*AP283</f>
        <v>38.556000000000004</v>
      </c>
      <c r="AY283" s="80" t="s">
        <v>1694</v>
      </c>
      <c r="AZ283" s="80" t="s">
        <v>1738</v>
      </c>
      <c r="BA283" s="77" t="s">
        <v>1775</v>
      </c>
      <c r="BC283" s="35">
        <f>AW283+AX283</f>
        <v>38.556000000000004</v>
      </c>
      <c r="BD283" s="35">
        <f>I283/(100-BE283)*100</f>
        <v>1836</v>
      </c>
      <c r="BE283" s="35">
        <v>0</v>
      </c>
      <c r="BF283" s="35">
        <f>283</f>
        <v>283</v>
      </c>
      <c r="BH283" s="64">
        <f>H283*AO283</f>
        <v>0</v>
      </c>
      <c r="BI283" s="64">
        <f>H283*AP283</f>
        <v>38.556000000000004</v>
      </c>
      <c r="BJ283" s="64">
        <f>H283*I283</f>
        <v>38.556000000000004</v>
      </c>
      <c r="BK283" s="64" t="s">
        <v>1790</v>
      </c>
      <c r="BL283" s="35">
        <v>732</v>
      </c>
    </row>
    <row r="284" spans="1:64">
      <c r="A284" s="19"/>
      <c r="C284" s="59" t="s">
        <v>730</v>
      </c>
      <c r="D284" s="167" t="s">
        <v>1314</v>
      </c>
      <c r="E284" s="168"/>
      <c r="F284" s="168"/>
      <c r="G284" s="168"/>
      <c r="H284" s="168"/>
      <c r="I284" s="168"/>
      <c r="J284" s="168"/>
      <c r="K284" s="168"/>
      <c r="L284" s="168"/>
      <c r="M284" s="169"/>
      <c r="N284" s="19"/>
    </row>
    <row r="285" spans="1:64">
      <c r="A285" s="46"/>
      <c r="B285" s="54" t="s">
        <v>62</v>
      </c>
      <c r="C285" s="54" t="s">
        <v>156</v>
      </c>
      <c r="D285" s="163" t="s">
        <v>207</v>
      </c>
      <c r="E285" s="164"/>
      <c r="F285" s="164"/>
      <c r="G285" s="61" t="s">
        <v>57</v>
      </c>
      <c r="H285" s="61" t="s">
        <v>57</v>
      </c>
      <c r="I285" s="61" t="s">
        <v>57</v>
      </c>
      <c r="J285" s="83">
        <f>SUM(J286:J288)</f>
        <v>0</v>
      </c>
      <c r="K285" s="83">
        <f>SUM(K286:K288)</f>
        <v>198.792</v>
      </c>
      <c r="L285" s="83">
        <f>SUM(L286:L288)</f>
        <v>198.792</v>
      </c>
      <c r="M285" s="72"/>
      <c r="N285" s="19"/>
      <c r="AI285" s="77" t="s">
        <v>62</v>
      </c>
      <c r="AS285" s="83">
        <f>SUM(AJ286:AJ288)</f>
        <v>0</v>
      </c>
      <c r="AT285" s="83">
        <f>SUM(AK286:AK288)</f>
        <v>0</v>
      </c>
      <c r="AU285" s="83">
        <f>SUM(AL286:AL288)</f>
        <v>198.792</v>
      </c>
    </row>
    <row r="286" spans="1:64">
      <c r="A286" s="47" t="s">
        <v>397</v>
      </c>
      <c r="B286" s="55" t="s">
        <v>62</v>
      </c>
      <c r="C286" s="55" t="s">
        <v>899</v>
      </c>
      <c r="D286" s="165" t="s">
        <v>1315</v>
      </c>
      <c r="E286" s="166"/>
      <c r="F286" s="166"/>
      <c r="G286" s="55" t="s">
        <v>1642</v>
      </c>
      <c r="H286" s="64">
        <v>4</v>
      </c>
      <c r="I286" s="64">
        <v>45.1</v>
      </c>
      <c r="J286" s="64">
        <f>H286*AO286</f>
        <v>0</v>
      </c>
      <c r="K286" s="64">
        <f>H286*AP286</f>
        <v>180.4</v>
      </c>
      <c r="L286" s="64">
        <f>H286*I286</f>
        <v>180.4</v>
      </c>
      <c r="M286" s="73"/>
      <c r="N286" s="19"/>
      <c r="Z286" s="35">
        <f>IF(AQ286="5",BJ286,0)</f>
        <v>0</v>
      </c>
      <c r="AB286" s="35">
        <f>IF(AQ286="1",BH286,0)</f>
        <v>0</v>
      </c>
      <c r="AC286" s="35">
        <f>IF(AQ286="1",BI286,0)</f>
        <v>0</v>
      </c>
      <c r="AD286" s="35">
        <f>IF(AQ286="7",BH286,0)</f>
        <v>0</v>
      </c>
      <c r="AE286" s="35">
        <f>IF(AQ286="7",BI286,0)</f>
        <v>180.4</v>
      </c>
      <c r="AF286" s="35">
        <f>IF(AQ286="2",BH286,0)</f>
        <v>0</v>
      </c>
      <c r="AG286" s="35">
        <f>IF(AQ286="2",BI286,0)</f>
        <v>0</v>
      </c>
      <c r="AH286" s="35">
        <f>IF(AQ286="0",BJ286,0)</f>
        <v>0</v>
      </c>
      <c r="AI286" s="77" t="s">
        <v>62</v>
      </c>
      <c r="AJ286" s="64">
        <f>IF(AN286=0,L286,0)</f>
        <v>0</v>
      </c>
      <c r="AK286" s="64">
        <f>IF(AN286=15,L286,0)</f>
        <v>0</v>
      </c>
      <c r="AL286" s="64">
        <f>IF(AN286=21,L286,0)</f>
        <v>180.4</v>
      </c>
      <c r="AN286" s="35">
        <v>21</v>
      </c>
      <c r="AO286" s="35">
        <f>I286*0</f>
        <v>0</v>
      </c>
      <c r="AP286" s="35">
        <f>I286*(1-0)</f>
        <v>45.1</v>
      </c>
      <c r="AQ286" s="78" t="s">
        <v>235</v>
      </c>
      <c r="AV286" s="35">
        <f>AW286+AX286</f>
        <v>180.4</v>
      </c>
      <c r="AW286" s="35">
        <f>H286*AO286</f>
        <v>0</v>
      </c>
      <c r="AX286" s="35">
        <f>H286*AP286</f>
        <v>180.4</v>
      </c>
      <c r="AY286" s="80" t="s">
        <v>1695</v>
      </c>
      <c r="AZ286" s="80" t="s">
        <v>1738</v>
      </c>
      <c r="BA286" s="77" t="s">
        <v>1775</v>
      </c>
      <c r="BC286" s="35">
        <f>AW286+AX286</f>
        <v>180.4</v>
      </c>
      <c r="BD286" s="35">
        <f>I286/(100-BE286)*100</f>
        <v>45.1</v>
      </c>
      <c r="BE286" s="35">
        <v>0</v>
      </c>
      <c r="BF286" s="35">
        <f>286</f>
        <v>286</v>
      </c>
      <c r="BH286" s="64">
        <f>H286*AO286</f>
        <v>0</v>
      </c>
      <c r="BI286" s="64">
        <f>H286*AP286</f>
        <v>180.4</v>
      </c>
      <c r="BJ286" s="64">
        <f>H286*I286</f>
        <v>180.4</v>
      </c>
      <c r="BK286" s="64" t="s">
        <v>1790</v>
      </c>
      <c r="BL286" s="35">
        <v>733</v>
      </c>
    </row>
    <row r="287" spans="1:64">
      <c r="A287" s="19"/>
      <c r="C287" s="59" t="s">
        <v>730</v>
      </c>
      <c r="D287" s="167" t="s">
        <v>1315</v>
      </c>
      <c r="E287" s="168"/>
      <c r="F287" s="168"/>
      <c r="G287" s="168"/>
      <c r="H287" s="168"/>
      <c r="I287" s="168"/>
      <c r="J287" s="168"/>
      <c r="K287" s="168"/>
      <c r="L287" s="168"/>
      <c r="M287" s="169"/>
      <c r="N287" s="19"/>
    </row>
    <row r="288" spans="1:64">
      <c r="A288" s="47" t="s">
        <v>398</v>
      </c>
      <c r="B288" s="55" t="s">
        <v>62</v>
      </c>
      <c r="C288" s="55" t="s">
        <v>900</v>
      </c>
      <c r="D288" s="165" t="s">
        <v>1316</v>
      </c>
      <c r="E288" s="166"/>
      <c r="F288" s="166"/>
      <c r="G288" s="55" t="s">
        <v>129</v>
      </c>
      <c r="H288" s="64">
        <v>1.9E-2</v>
      </c>
      <c r="I288" s="64">
        <v>968</v>
      </c>
      <c r="J288" s="64">
        <f>H288*AO288</f>
        <v>0</v>
      </c>
      <c r="K288" s="64">
        <f>H288*AP288</f>
        <v>18.391999999999999</v>
      </c>
      <c r="L288" s="64">
        <f>H288*I288</f>
        <v>18.391999999999999</v>
      </c>
      <c r="M288" s="73" t="s">
        <v>1660</v>
      </c>
      <c r="N288" s="19"/>
      <c r="Z288" s="35">
        <f>IF(AQ288="5",BJ288,0)</f>
        <v>0</v>
      </c>
      <c r="AB288" s="35">
        <f>IF(AQ288="1",BH288,0)</f>
        <v>0</v>
      </c>
      <c r="AC288" s="35">
        <f>IF(AQ288="1",BI288,0)</f>
        <v>0</v>
      </c>
      <c r="AD288" s="35">
        <f>IF(AQ288="7",BH288,0)</f>
        <v>0</v>
      </c>
      <c r="AE288" s="35">
        <f>IF(AQ288="7",BI288,0)</f>
        <v>18.391999999999999</v>
      </c>
      <c r="AF288" s="35">
        <f>IF(AQ288="2",BH288,0)</f>
        <v>0</v>
      </c>
      <c r="AG288" s="35">
        <f>IF(AQ288="2",BI288,0)</f>
        <v>0</v>
      </c>
      <c r="AH288" s="35">
        <f>IF(AQ288="0",BJ288,0)</f>
        <v>0</v>
      </c>
      <c r="AI288" s="77" t="s">
        <v>62</v>
      </c>
      <c r="AJ288" s="64">
        <f>IF(AN288=0,L288,0)</f>
        <v>0</v>
      </c>
      <c r="AK288" s="64">
        <f>IF(AN288=15,L288,0)</f>
        <v>0</v>
      </c>
      <c r="AL288" s="64">
        <f>IF(AN288=21,L288,0)</f>
        <v>18.391999999999999</v>
      </c>
      <c r="AN288" s="35">
        <v>21</v>
      </c>
      <c r="AO288" s="35">
        <f>I288*0</f>
        <v>0</v>
      </c>
      <c r="AP288" s="35">
        <f>I288*(1-0)</f>
        <v>968</v>
      </c>
      <c r="AQ288" s="78" t="s">
        <v>235</v>
      </c>
      <c r="AV288" s="35">
        <f>AW288+AX288</f>
        <v>18.391999999999999</v>
      </c>
      <c r="AW288" s="35">
        <f>H288*AO288</f>
        <v>0</v>
      </c>
      <c r="AX288" s="35">
        <f>H288*AP288</f>
        <v>18.391999999999999</v>
      </c>
      <c r="AY288" s="80" t="s">
        <v>1695</v>
      </c>
      <c r="AZ288" s="80" t="s">
        <v>1738</v>
      </c>
      <c r="BA288" s="77" t="s">
        <v>1775</v>
      </c>
      <c r="BC288" s="35">
        <f>AW288+AX288</f>
        <v>18.391999999999999</v>
      </c>
      <c r="BD288" s="35">
        <f>I288/(100-BE288)*100</f>
        <v>968</v>
      </c>
      <c r="BE288" s="35">
        <v>0</v>
      </c>
      <c r="BF288" s="35">
        <f>288</f>
        <v>288</v>
      </c>
      <c r="BH288" s="64">
        <f>H288*AO288</f>
        <v>0</v>
      </c>
      <c r="BI288" s="64">
        <f>H288*AP288</f>
        <v>18.391999999999999</v>
      </c>
      <c r="BJ288" s="64">
        <f>H288*I288</f>
        <v>18.391999999999999</v>
      </c>
      <c r="BK288" s="64" t="s">
        <v>1790</v>
      </c>
      <c r="BL288" s="35">
        <v>733</v>
      </c>
    </row>
    <row r="289" spans="1:64">
      <c r="A289" s="19"/>
      <c r="C289" s="59" t="s">
        <v>730</v>
      </c>
      <c r="D289" s="167" t="s">
        <v>1317</v>
      </c>
      <c r="E289" s="168"/>
      <c r="F289" s="168"/>
      <c r="G289" s="168"/>
      <c r="H289" s="168"/>
      <c r="I289" s="168"/>
      <c r="J289" s="168"/>
      <c r="K289" s="168"/>
      <c r="L289" s="168"/>
      <c r="M289" s="169"/>
      <c r="N289" s="19"/>
    </row>
    <row r="290" spans="1:64">
      <c r="A290" s="46"/>
      <c r="B290" s="54" t="s">
        <v>62</v>
      </c>
      <c r="C290" s="54" t="s">
        <v>157</v>
      </c>
      <c r="D290" s="163" t="s">
        <v>208</v>
      </c>
      <c r="E290" s="164"/>
      <c r="F290" s="164"/>
      <c r="G290" s="61" t="s">
        <v>57</v>
      </c>
      <c r="H290" s="61" t="s">
        <v>57</v>
      </c>
      <c r="I290" s="61" t="s">
        <v>57</v>
      </c>
      <c r="J290" s="83">
        <f>SUM(J291:J301)</f>
        <v>0</v>
      </c>
      <c r="K290" s="83">
        <f>SUM(K291:K301)</f>
        <v>18434.754800000002</v>
      </c>
      <c r="L290" s="83">
        <f>SUM(L291:L301)</f>
        <v>18434.754800000002</v>
      </c>
      <c r="M290" s="72"/>
      <c r="N290" s="19"/>
      <c r="AI290" s="77" t="s">
        <v>62</v>
      </c>
      <c r="AS290" s="83">
        <f>SUM(AJ291:AJ301)</f>
        <v>0</v>
      </c>
      <c r="AT290" s="83">
        <f>SUM(AK291:AK301)</f>
        <v>0</v>
      </c>
      <c r="AU290" s="83">
        <f>SUM(AL291:AL301)</f>
        <v>18434.754800000002</v>
      </c>
    </row>
    <row r="291" spans="1:64">
      <c r="A291" s="47" t="s">
        <v>399</v>
      </c>
      <c r="B291" s="55" t="s">
        <v>62</v>
      </c>
      <c r="C291" s="55" t="s">
        <v>901</v>
      </c>
      <c r="D291" s="165" t="s">
        <v>1318</v>
      </c>
      <c r="E291" s="166"/>
      <c r="F291" s="166"/>
      <c r="G291" s="55" t="s">
        <v>1641</v>
      </c>
      <c r="H291" s="64">
        <v>80</v>
      </c>
      <c r="I291" s="64">
        <v>49.94</v>
      </c>
      <c r="J291" s="64">
        <f>H291*AO291</f>
        <v>0</v>
      </c>
      <c r="K291" s="64">
        <f>H291*AP291</f>
        <v>3995.2</v>
      </c>
      <c r="L291" s="64">
        <f>H291*I291</f>
        <v>3995.2</v>
      </c>
      <c r="M291" s="73" t="s">
        <v>1660</v>
      </c>
      <c r="N291" s="19"/>
      <c r="Z291" s="35">
        <f>IF(AQ291="5",BJ291,0)</f>
        <v>0</v>
      </c>
      <c r="AB291" s="35">
        <f>IF(AQ291="1",BH291,0)</f>
        <v>0</v>
      </c>
      <c r="AC291" s="35">
        <f>IF(AQ291="1",BI291,0)</f>
        <v>0</v>
      </c>
      <c r="AD291" s="35">
        <f>IF(AQ291="7",BH291,0)</f>
        <v>0</v>
      </c>
      <c r="AE291" s="35">
        <f>IF(AQ291="7",BI291,0)</f>
        <v>3995.2</v>
      </c>
      <c r="AF291" s="35">
        <f>IF(AQ291="2",BH291,0)</f>
        <v>0</v>
      </c>
      <c r="AG291" s="35">
        <f>IF(AQ291="2",BI291,0)</f>
        <v>0</v>
      </c>
      <c r="AH291" s="35">
        <f>IF(AQ291="0",BJ291,0)</f>
        <v>0</v>
      </c>
      <c r="AI291" s="77" t="s">
        <v>62</v>
      </c>
      <c r="AJ291" s="64">
        <f>IF(AN291=0,L291,0)</f>
        <v>0</v>
      </c>
      <c r="AK291" s="64">
        <f>IF(AN291=15,L291,0)</f>
        <v>0</v>
      </c>
      <c r="AL291" s="64">
        <f>IF(AN291=21,L291,0)</f>
        <v>3995.2</v>
      </c>
      <c r="AN291" s="35">
        <v>21</v>
      </c>
      <c r="AO291" s="35">
        <f>I291*0</f>
        <v>0</v>
      </c>
      <c r="AP291" s="35">
        <f>I291*(1-0)</f>
        <v>49.94</v>
      </c>
      <c r="AQ291" s="78" t="s">
        <v>235</v>
      </c>
      <c r="AV291" s="35">
        <f>AW291+AX291</f>
        <v>3995.2</v>
      </c>
      <c r="AW291" s="35">
        <f>H291*AO291</f>
        <v>0</v>
      </c>
      <c r="AX291" s="35">
        <f>H291*AP291</f>
        <v>3995.2</v>
      </c>
      <c r="AY291" s="80" t="s">
        <v>1696</v>
      </c>
      <c r="AZ291" s="80" t="s">
        <v>1738</v>
      </c>
      <c r="BA291" s="77" t="s">
        <v>1775</v>
      </c>
      <c r="BC291" s="35">
        <f>AW291+AX291</f>
        <v>3995.2</v>
      </c>
      <c r="BD291" s="35">
        <f>I291/(100-BE291)*100</f>
        <v>49.94</v>
      </c>
      <c r="BE291" s="35">
        <v>0</v>
      </c>
      <c r="BF291" s="35">
        <f>291</f>
        <v>291</v>
      </c>
      <c r="BH291" s="64">
        <f>H291*AO291</f>
        <v>0</v>
      </c>
      <c r="BI291" s="64">
        <f>H291*AP291</f>
        <v>3995.2</v>
      </c>
      <c r="BJ291" s="64">
        <f>H291*I291</f>
        <v>3995.2</v>
      </c>
      <c r="BK291" s="64" t="s">
        <v>1790</v>
      </c>
      <c r="BL291" s="35">
        <v>734</v>
      </c>
    </row>
    <row r="292" spans="1:64">
      <c r="A292" s="19"/>
      <c r="C292" s="59" t="s">
        <v>730</v>
      </c>
      <c r="D292" s="167" t="s">
        <v>1319</v>
      </c>
      <c r="E292" s="168"/>
      <c r="F292" s="168"/>
      <c r="G292" s="168"/>
      <c r="H292" s="168"/>
      <c r="I292" s="168"/>
      <c r="J292" s="168"/>
      <c r="K292" s="168"/>
      <c r="L292" s="168"/>
      <c r="M292" s="169"/>
      <c r="N292" s="19"/>
    </row>
    <row r="293" spans="1:64">
      <c r="A293" s="47" t="s">
        <v>400</v>
      </c>
      <c r="B293" s="55" t="s">
        <v>62</v>
      </c>
      <c r="C293" s="55" t="s">
        <v>902</v>
      </c>
      <c r="D293" s="165" t="s">
        <v>1320</v>
      </c>
      <c r="E293" s="166"/>
      <c r="F293" s="166"/>
      <c r="G293" s="55" t="s">
        <v>1641</v>
      </c>
      <c r="H293" s="64">
        <v>80</v>
      </c>
      <c r="I293" s="64">
        <v>71.5</v>
      </c>
      <c r="J293" s="64">
        <f>H293*AO293</f>
        <v>0</v>
      </c>
      <c r="K293" s="64">
        <f>H293*AP293</f>
        <v>5720</v>
      </c>
      <c r="L293" s="64">
        <f>H293*I293</f>
        <v>5720</v>
      </c>
      <c r="M293" s="73" t="s">
        <v>1660</v>
      </c>
      <c r="N293" s="19"/>
      <c r="Z293" s="35">
        <f>IF(AQ293="5",BJ293,0)</f>
        <v>0</v>
      </c>
      <c r="AB293" s="35">
        <f>IF(AQ293="1",BH293,0)</f>
        <v>0</v>
      </c>
      <c r="AC293" s="35">
        <f>IF(AQ293="1",BI293,0)</f>
        <v>0</v>
      </c>
      <c r="AD293" s="35">
        <f>IF(AQ293="7",BH293,0)</f>
        <v>0</v>
      </c>
      <c r="AE293" s="35">
        <f>IF(AQ293="7",BI293,0)</f>
        <v>5720</v>
      </c>
      <c r="AF293" s="35">
        <f>IF(AQ293="2",BH293,0)</f>
        <v>0</v>
      </c>
      <c r="AG293" s="35">
        <f>IF(AQ293="2",BI293,0)</f>
        <v>0</v>
      </c>
      <c r="AH293" s="35">
        <f>IF(AQ293="0",BJ293,0)</f>
        <v>0</v>
      </c>
      <c r="AI293" s="77" t="s">
        <v>62</v>
      </c>
      <c r="AJ293" s="64">
        <f>IF(AN293=0,L293,0)</f>
        <v>0</v>
      </c>
      <c r="AK293" s="64">
        <f>IF(AN293=15,L293,0)</f>
        <v>0</v>
      </c>
      <c r="AL293" s="64">
        <f>IF(AN293=21,L293,0)</f>
        <v>5720</v>
      </c>
      <c r="AN293" s="35">
        <v>21</v>
      </c>
      <c r="AO293" s="35">
        <f>I293*0</f>
        <v>0</v>
      </c>
      <c r="AP293" s="35">
        <f>I293*(1-0)</f>
        <v>71.5</v>
      </c>
      <c r="AQ293" s="78" t="s">
        <v>235</v>
      </c>
      <c r="AV293" s="35">
        <f>AW293+AX293</f>
        <v>5720</v>
      </c>
      <c r="AW293" s="35">
        <f>H293*AO293</f>
        <v>0</v>
      </c>
      <c r="AX293" s="35">
        <f>H293*AP293</f>
        <v>5720</v>
      </c>
      <c r="AY293" s="80" t="s">
        <v>1696</v>
      </c>
      <c r="AZ293" s="80" t="s">
        <v>1738</v>
      </c>
      <c r="BA293" s="77" t="s">
        <v>1775</v>
      </c>
      <c r="BC293" s="35">
        <f>AW293+AX293</f>
        <v>5720</v>
      </c>
      <c r="BD293" s="35">
        <f>I293/(100-BE293)*100</f>
        <v>71.5</v>
      </c>
      <c r="BE293" s="35">
        <v>0</v>
      </c>
      <c r="BF293" s="35">
        <f>293</f>
        <v>293</v>
      </c>
      <c r="BH293" s="64">
        <f>H293*AO293</f>
        <v>0</v>
      </c>
      <c r="BI293" s="64">
        <f>H293*AP293</f>
        <v>5720</v>
      </c>
      <c r="BJ293" s="64">
        <f>H293*I293</f>
        <v>5720</v>
      </c>
      <c r="BK293" s="64" t="s">
        <v>1790</v>
      </c>
      <c r="BL293" s="35">
        <v>734</v>
      </c>
    </row>
    <row r="294" spans="1:64">
      <c r="A294" s="19"/>
      <c r="C294" s="59" t="s">
        <v>730</v>
      </c>
      <c r="D294" s="167" t="s">
        <v>1321</v>
      </c>
      <c r="E294" s="168"/>
      <c r="F294" s="168"/>
      <c r="G294" s="168"/>
      <c r="H294" s="168"/>
      <c r="I294" s="168"/>
      <c r="J294" s="168"/>
      <c r="K294" s="168"/>
      <c r="L294" s="168"/>
      <c r="M294" s="169"/>
      <c r="N294" s="19"/>
    </row>
    <row r="295" spans="1:64">
      <c r="A295" s="47" t="s">
        <v>401</v>
      </c>
      <c r="B295" s="55" t="s">
        <v>62</v>
      </c>
      <c r="C295" s="55" t="s">
        <v>903</v>
      </c>
      <c r="D295" s="165" t="s">
        <v>1322</v>
      </c>
      <c r="E295" s="166"/>
      <c r="F295" s="166"/>
      <c r="G295" s="55" t="s">
        <v>1641</v>
      </c>
      <c r="H295" s="64">
        <v>80</v>
      </c>
      <c r="I295" s="64">
        <v>98.89</v>
      </c>
      <c r="J295" s="64">
        <f>H295*AO295</f>
        <v>0</v>
      </c>
      <c r="K295" s="64">
        <f>H295*AP295</f>
        <v>7911.2</v>
      </c>
      <c r="L295" s="64">
        <f>H295*I295</f>
        <v>7911.2</v>
      </c>
      <c r="M295" s="73"/>
      <c r="N295" s="19"/>
      <c r="Z295" s="35">
        <f>IF(AQ295="5",BJ295,0)</f>
        <v>0</v>
      </c>
      <c r="AB295" s="35">
        <f>IF(AQ295="1",BH295,0)</f>
        <v>0</v>
      </c>
      <c r="AC295" s="35">
        <f>IF(AQ295="1",BI295,0)</f>
        <v>0</v>
      </c>
      <c r="AD295" s="35">
        <f>IF(AQ295="7",BH295,0)</f>
        <v>0</v>
      </c>
      <c r="AE295" s="35">
        <f>IF(AQ295="7",BI295,0)</f>
        <v>7911.2</v>
      </c>
      <c r="AF295" s="35">
        <f>IF(AQ295="2",BH295,0)</f>
        <v>0</v>
      </c>
      <c r="AG295" s="35">
        <f>IF(AQ295="2",BI295,0)</f>
        <v>0</v>
      </c>
      <c r="AH295" s="35">
        <f>IF(AQ295="0",BJ295,0)</f>
        <v>0</v>
      </c>
      <c r="AI295" s="77" t="s">
        <v>62</v>
      </c>
      <c r="AJ295" s="64">
        <f>IF(AN295=0,L295,0)</f>
        <v>0</v>
      </c>
      <c r="AK295" s="64">
        <f>IF(AN295=15,L295,0)</f>
        <v>0</v>
      </c>
      <c r="AL295" s="64">
        <f>IF(AN295=21,L295,0)</f>
        <v>7911.2</v>
      </c>
      <c r="AN295" s="35">
        <v>21</v>
      </c>
      <c r="AO295" s="35">
        <f>I295*0</f>
        <v>0</v>
      </c>
      <c r="AP295" s="35">
        <f>I295*(1-0)</f>
        <v>98.89</v>
      </c>
      <c r="AQ295" s="78" t="s">
        <v>235</v>
      </c>
      <c r="AV295" s="35">
        <f>AW295+AX295</f>
        <v>7911.2</v>
      </c>
      <c r="AW295" s="35">
        <f>H295*AO295</f>
        <v>0</v>
      </c>
      <c r="AX295" s="35">
        <f>H295*AP295</f>
        <v>7911.2</v>
      </c>
      <c r="AY295" s="80" t="s">
        <v>1696</v>
      </c>
      <c r="AZ295" s="80" t="s">
        <v>1738</v>
      </c>
      <c r="BA295" s="77" t="s">
        <v>1775</v>
      </c>
      <c r="BC295" s="35">
        <f>AW295+AX295</f>
        <v>7911.2</v>
      </c>
      <c r="BD295" s="35">
        <f>I295/(100-BE295)*100</f>
        <v>98.89</v>
      </c>
      <c r="BE295" s="35">
        <v>0</v>
      </c>
      <c r="BF295" s="35">
        <f>295</f>
        <v>295</v>
      </c>
      <c r="BH295" s="64">
        <f>H295*AO295</f>
        <v>0</v>
      </c>
      <c r="BI295" s="64">
        <f>H295*AP295</f>
        <v>7911.2</v>
      </c>
      <c r="BJ295" s="64">
        <f>H295*I295</f>
        <v>7911.2</v>
      </c>
      <c r="BK295" s="64" t="s">
        <v>1790</v>
      </c>
      <c r="BL295" s="35">
        <v>734</v>
      </c>
    </row>
    <row r="296" spans="1:64">
      <c r="A296" s="19"/>
      <c r="C296" s="59" t="s">
        <v>730</v>
      </c>
      <c r="D296" s="167" t="s">
        <v>1323</v>
      </c>
      <c r="E296" s="168"/>
      <c r="F296" s="168"/>
      <c r="G296" s="168"/>
      <c r="H296" s="168"/>
      <c r="I296" s="168"/>
      <c r="J296" s="168"/>
      <c r="K296" s="168"/>
      <c r="L296" s="168"/>
      <c r="M296" s="169"/>
      <c r="N296" s="19"/>
    </row>
    <row r="297" spans="1:64">
      <c r="A297" s="47" t="s">
        <v>402</v>
      </c>
      <c r="B297" s="55" t="s">
        <v>62</v>
      </c>
      <c r="C297" s="55" t="s">
        <v>904</v>
      </c>
      <c r="D297" s="165" t="s">
        <v>1324</v>
      </c>
      <c r="E297" s="166"/>
      <c r="F297" s="166"/>
      <c r="G297" s="55" t="s">
        <v>1641</v>
      </c>
      <c r="H297" s="64">
        <v>1</v>
      </c>
      <c r="I297" s="64">
        <v>161.69999999999999</v>
      </c>
      <c r="J297" s="64">
        <f>H297*AO297</f>
        <v>0</v>
      </c>
      <c r="K297" s="64">
        <f>H297*AP297</f>
        <v>161.69999999999999</v>
      </c>
      <c r="L297" s="64">
        <f>H297*I297</f>
        <v>161.69999999999999</v>
      </c>
      <c r="M297" s="73" t="s">
        <v>1660</v>
      </c>
      <c r="N297" s="19"/>
      <c r="Z297" s="35">
        <f>IF(AQ297="5",BJ297,0)</f>
        <v>0</v>
      </c>
      <c r="AB297" s="35">
        <f>IF(AQ297="1",BH297,0)</f>
        <v>0</v>
      </c>
      <c r="AC297" s="35">
        <f>IF(AQ297="1",BI297,0)</f>
        <v>0</v>
      </c>
      <c r="AD297" s="35">
        <f>IF(AQ297="7",BH297,0)</f>
        <v>0</v>
      </c>
      <c r="AE297" s="35">
        <f>IF(AQ297="7",BI297,0)</f>
        <v>161.69999999999999</v>
      </c>
      <c r="AF297" s="35">
        <f>IF(AQ297="2",BH297,0)</f>
        <v>0</v>
      </c>
      <c r="AG297" s="35">
        <f>IF(AQ297="2",BI297,0)</f>
        <v>0</v>
      </c>
      <c r="AH297" s="35">
        <f>IF(AQ297="0",BJ297,0)</f>
        <v>0</v>
      </c>
      <c r="AI297" s="77" t="s">
        <v>62</v>
      </c>
      <c r="AJ297" s="64">
        <f>IF(AN297=0,L297,0)</f>
        <v>0</v>
      </c>
      <c r="AK297" s="64">
        <f>IF(AN297=15,L297,0)</f>
        <v>0</v>
      </c>
      <c r="AL297" s="64">
        <f>IF(AN297=21,L297,0)</f>
        <v>161.69999999999999</v>
      </c>
      <c r="AN297" s="35">
        <v>21</v>
      </c>
      <c r="AO297" s="35">
        <f>I297*0</f>
        <v>0</v>
      </c>
      <c r="AP297" s="35">
        <f>I297*(1-0)</f>
        <v>161.69999999999999</v>
      </c>
      <c r="AQ297" s="78" t="s">
        <v>235</v>
      </c>
      <c r="AV297" s="35">
        <f>AW297+AX297</f>
        <v>161.69999999999999</v>
      </c>
      <c r="AW297" s="35">
        <f>H297*AO297</f>
        <v>0</v>
      </c>
      <c r="AX297" s="35">
        <f>H297*AP297</f>
        <v>161.69999999999999</v>
      </c>
      <c r="AY297" s="80" t="s">
        <v>1696</v>
      </c>
      <c r="AZ297" s="80" t="s">
        <v>1738</v>
      </c>
      <c r="BA297" s="77" t="s">
        <v>1775</v>
      </c>
      <c r="BC297" s="35">
        <f>AW297+AX297</f>
        <v>161.69999999999999</v>
      </c>
      <c r="BD297" s="35">
        <f>I297/(100-BE297)*100</f>
        <v>161.69999999999999</v>
      </c>
      <c r="BE297" s="35">
        <v>0</v>
      </c>
      <c r="BF297" s="35">
        <f>297</f>
        <v>297</v>
      </c>
      <c r="BH297" s="64">
        <f>H297*AO297</f>
        <v>0</v>
      </c>
      <c r="BI297" s="64">
        <f>H297*AP297</f>
        <v>161.69999999999999</v>
      </c>
      <c r="BJ297" s="64">
        <f>H297*I297</f>
        <v>161.69999999999999</v>
      </c>
      <c r="BK297" s="64" t="s">
        <v>1790</v>
      </c>
      <c r="BL297" s="35">
        <v>734</v>
      </c>
    </row>
    <row r="298" spans="1:64">
      <c r="A298" s="19"/>
      <c r="C298" s="59" t="s">
        <v>730</v>
      </c>
      <c r="D298" s="167" t="s">
        <v>1325</v>
      </c>
      <c r="E298" s="168"/>
      <c r="F298" s="168"/>
      <c r="G298" s="168"/>
      <c r="H298" s="168"/>
      <c r="I298" s="168"/>
      <c r="J298" s="168"/>
      <c r="K298" s="168"/>
      <c r="L298" s="168"/>
      <c r="M298" s="169"/>
      <c r="N298" s="19"/>
    </row>
    <row r="299" spans="1:64">
      <c r="A299" s="47" t="s">
        <v>403</v>
      </c>
      <c r="B299" s="55" t="s">
        <v>62</v>
      </c>
      <c r="C299" s="55" t="s">
        <v>905</v>
      </c>
      <c r="D299" s="165" t="s">
        <v>1326</v>
      </c>
      <c r="E299" s="166"/>
      <c r="F299" s="166"/>
      <c r="G299" s="55" t="s">
        <v>1641</v>
      </c>
      <c r="H299" s="64">
        <v>1</v>
      </c>
      <c r="I299" s="64">
        <v>237.6</v>
      </c>
      <c r="J299" s="64">
        <f>H299*AO299</f>
        <v>0</v>
      </c>
      <c r="K299" s="64">
        <f>H299*AP299</f>
        <v>237.6</v>
      </c>
      <c r="L299" s="64">
        <f>H299*I299</f>
        <v>237.6</v>
      </c>
      <c r="M299" s="73"/>
      <c r="N299" s="19"/>
      <c r="Z299" s="35">
        <f>IF(AQ299="5",BJ299,0)</f>
        <v>0</v>
      </c>
      <c r="AB299" s="35">
        <f>IF(AQ299="1",BH299,0)</f>
        <v>0</v>
      </c>
      <c r="AC299" s="35">
        <f>IF(AQ299="1",BI299,0)</f>
        <v>0</v>
      </c>
      <c r="AD299" s="35">
        <f>IF(AQ299="7",BH299,0)</f>
        <v>0</v>
      </c>
      <c r="AE299" s="35">
        <f>IF(AQ299="7",BI299,0)</f>
        <v>237.6</v>
      </c>
      <c r="AF299" s="35">
        <f>IF(AQ299="2",BH299,0)</f>
        <v>0</v>
      </c>
      <c r="AG299" s="35">
        <f>IF(AQ299="2",BI299,0)</f>
        <v>0</v>
      </c>
      <c r="AH299" s="35">
        <f>IF(AQ299="0",BJ299,0)</f>
        <v>0</v>
      </c>
      <c r="AI299" s="77" t="s">
        <v>62</v>
      </c>
      <c r="AJ299" s="64">
        <f>IF(AN299=0,L299,0)</f>
        <v>0</v>
      </c>
      <c r="AK299" s="64">
        <f>IF(AN299=15,L299,0)</f>
        <v>0</v>
      </c>
      <c r="AL299" s="64">
        <f>IF(AN299=21,L299,0)</f>
        <v>237.6</v>
      </c>
      <c r="AN299" s="35">
        <v>21</v>
      </c>
      <c r="AO299" s="35">
        <f>I299*0</f>
        <v>0</v>
      </c>
      <c r="AP299" s="35">
        <f>I299*(1-0)</f>
        <v>237.6</v>
      </c>
      <c r="AQ299" s="78" t="s">
        <v>235</v>
      </c>
      <c r="AV299" s="35">
        <f>AW299+AX299</f>
        <v>237.6</v>
      </c>
      <c r="AW299" s="35">
        <f>H299*AO299</f>
        <v>0</v>
      </c>
      <c r="AX299" s="35">
        <f>H299*AP299</f>
        <v>237.6</v>
      </c>
      <c r="AY299" s="80" t="s">
        <v>1696</v>
      </c>
      <c r="AZ299" s="80" t="s">
        <v>1738</v>
      </c>
      <c r="BA299" s="77" t="s">
        <v>1775</v>
      </c>
      <c r="BC299" s="35">
        <f>AW299+AX299</f>
        <v>237.6</v>
      </c>
      <c r="BD299" s="35">
        <f>I299/(100-BE299)*100</f>
        <v>237.6</v>
      </c>
      <c r="BE299" s="35">
        <v>0</v>
      </c>
      <c r="BF299" s="35">
        <f>299</f>
        <v>299</v>
      </c>
      <c r="BH299" s="64">
        <f>H299*AO299</f>
        <v>0</v>
      </c>
      <c r="BI299" s="64">
        <f>H299*AP299</f>
        <v>237.6</v>
      </c>
      <c r="BJ299" s="64">
        <f>H299*I299</f>
        <v>237.6</v>
      </c>
      <c r="BK299" s="64" t="s">
        <v>1790</v>
      </c>
      <c r="BL299" s="35">
        <v>734</v>
      </c>
    </row>
    <row r="300" spans="1:64">
      <c r="A300" s="19"/>
      <c r="C300" s="59" t="s">
        <v>730</v>
      </c>
      <c r="D300" s="167" t="s">
        <v>1326</v>
      </c>
      <c r="E300" s="168"/>
      <c r="F300" s="168"/>
      <c r="G300" s="168"/>
      <c r="H300" s="168"/>
      <c r="I300" s="168"/>
      <c r="J300" s="168"/>
      <c r="K300" s="168"/>
      <c r="L300" s="168"/>
      <c r="M300" s="169"/>
      <c r="N300" s="19"/>
    </row>
    <row r="301" spans="1:64">
      <c r="A301" s="47" t="s">
        <v>404</v>
      </c>
      <c r="B301" s="55" t="s">
        <v>62</v>
      </c>
      <c r="C301" s="55" t="s">
        <v>906</v>
      </c>
      <c r="D301" s="165" t="s">
        <v>1327</v>
      </c>
      <c r="E301" s="166"/>
      <c r="F301" s="166"/>
      <c r="G301" s="55" t="s">
        <v>129</v>
      </c>
      <c r="H301" s="64">
        <v>0.53200000000000003</v>
      </c>
      <c r="I301" s="64">
        <v>768.9</v>
      </c>
      <c r="J301" s="64">
        <f>H301*AO301</f>
        <v>0</v>
      </c>
      <c r="K301" s="64">
        <f>H301*AP301</f>
        <v>409.0548</v>
      </c>
      <c r="L301" s="64">
        <f>H301*I301</f>
        <v>409.0548</v>
      </c>
      <c r="M301" s="73" t="s">
        <v>1660</v>
      </c>
      <c r="N301" s="19"/>
      <c r="Z301" s="35">
        <f>IF(AQ301="5",BJ301,0)</f>
        <v>0</v>
      </c>
      <c r="AB301" s="35">
        <f>IF(AQ301="1",BH301,0)</f>
        <v>0</v>
      </c>
      <c r="AC301" s="35">
        <f>IF(AQ301="1",BI301,0)</f>
        <v>0</v>
      </c>
      <c r="AD301" s="35">
        <f>IF(AQ301="7",BH301,0)</f>
        <v>0</v>
      </c>
      <c r="AE301" s="35">
        <f>IF(AQ301="7",BI301,0)</f>
        <v>409.0548</v>
      </c>
      <c r="AF301" s="35">
        <f>IF(AQ301="2",BH301,0)</f>
        <v>0</v>
      </c>
      <c r="AG301" s="35">
        <f>IF(AQ301="2",BI301,0)</f>
        <v>0</v>
      </c>
      <c r="AH301" s="35">
        <f>IF(AQ301="0",BJ301,0)</f>
        <v>0</v>
      </c>
      <c r="AI301" s="77" t="s">
        <v>62</v>
      </c>
      <c r="AJ301" s="64">
        <f>IF(AN301=0,L301,0)</f>
        <v>0</v>
      </c>
      <c r="AK301" s="64">
        <f>IF(AN301=15,L301,0)</f>
        <v>0</v>
      </c>
      <c r="AL301" s="64">
        <f>IF(AN301=21,L301,0)</f>
        <v>409.0548</v>
      </c>
      <c r="AN301" s="35">
        <v>21</v>
      </c>
      <c r="AO301" s="35">
        <f>I301*0</f>
        <v>0</v>
      </c>
      <c r="AP301" s="35">
        <f>I301*(1-0)</f>
        <v>768.9</v>
      </c>
      <c r="AQ301" s="78" t="s">
        <v>235</v>
      </c>
      <c r="AV301" s="35">
        <f>AW301+AX301</f>
        <v>409.0548</v>
      </c>
      <c r="AW301" s="35">
        <f>H301*AO301</f>
        <v>0</v>
      </c>
      <c r="AX301" s="35">
        <f>H301*AP301</f>
        <v>409.0548</v>
      </c>
      <c r="AY301" s="80" t="s">
        <v>1696</v>
      </c>
      <c r="AZ301" s="80" t="s">
        <v>1738</v>
      </c>
      <c r="BA301" s="77" t="s">
        <v>1775</v>
      </c>
      <c r="BC301" s="35">
        <f>AW301+AX301</f>
        <v>409.0548</v>
      </c>
      <c r="BD301" s="35">
        <f>I301/(100-BE301)*100</f>
        <v>768.9</v>
      </c>
      <c r="BE301" s="35">
        <v>0</v>
      </c>
      <c r="BF301" s="35">
        <f>301</f>
        <v>301</v>
      </c>
      <c r="BH301" s="64">
        <f>H301*AO301</f>
        <v>0</v>
      </c>
      <c r="BI301" s="64">
        <f>H301*AP301</f>
        <v>409.0548</v>
      </c>
      <c r="BJ301" s="64">
        <f>H301*I301</f>
        <v>409.0548</v>
      </c>
      <c r="BK301" s="64" t="s">
        <v>1790</v>
      </c>
      <c r="BL301" s="35">
        <v>734</v>
      </c>
    </row>
    <row r="302" spans="1:64">
      <c r="A302" s="19"/>
      <c r="C302" s="59" t="s">
        <v>730</v>
      </c>
      <c r="D302" s="167" t="s">
        <v>1328</v>
      </c>
      <c r="E302" s="168"/>
      <c r="F302" s="168"/>
      <c r="G302" s="168"/>
      <c r="H302" s="168"/>
      <c r="I302" s="168"/>
      <c r="J302" s="168"/>
      <c r="K302" s="168"/>
      <c r="L302" s="168"/>
      <c r="M302" s="169"/>
      <c r="N302" s="19"/>
    </row>
    <row r="303" spans="1:64">
      <c r="A303" s="46"/>
      <c r="B303" s="54" t="s">
        <v>62</v>
      </c>
      <c r="C303" s="54" t="s">
        <v>158</v>
      </c>
      <c r="D303" s="163" t="s">
        <v>209</v>
      </c>
      <c r="E303" s="164"/>
      <c r="F303" s="164"/>
      <c r="G303" s="61" t="s">
        <v>57</v>
      </c>
      <c r="H303" s="61" t="s">
        <v>57</v>
      </c>
      <c r="I303" s="61" t="s">
        <v>57</v>
      </c>
      <c r="J303" s="83">
        <f>SUM(J304:J304)</f>
        <v>0</v>
      </c>
      <c r="K303" s="83">
        <f>SUM(K304:K304)</f>
        <v>15.9</v>
      </c>
      <c r="L303" s="83">
        <f>SUM(L304:L304)</f>
        <v>15.9</v>
      </c>
      <c r="M303" s="72"/>
      <c r="N303" s="19"/>
      <c r="AI303" s="77" t="s">
        <v>62</v>
      </c>
      <c r="AS303" s="83">
        <f>SUM(AJ304:AJ304)</f>
        <v>0</v>
      </c>
      <c r="AT303" s="83">
        <f>SUM(AK304:AK304)</f>
        <v>0</v>
      </c>
      <c r="AU303" s="83">
        <f>SUM(AL304:AL304)</f>
        <v>15.9</v>
      </c>
    </row>
    <row r="304" spans="1:64">
      <c r="A304" s="47" t="s">
        <v>405</v>
      </c>
      <c r="B304" s="55" t="s">
        <v>62</v>
      </c>
      <c r="C304" s="55" t="s">
        <v>907</v>
      </c>
      <c r="D304" s="165" t="s">
        <v>1329</v>
      </c>
      <c r="E304" s="166"/>
      <c r="F304" s="166"/>
      <c r="G304" s="55" t="s">
        <v>1643</v>
      </c>
      <c r="H304" s="64">
        <v>1</v>
      </c>
      <c r="I304" s="64">
        <v>15.9</v>
      </c>
      <c r="J304" s="64">
        <f>H304*AO304</f>
        <v>0</v>
      </c>
      <c r="K304" s="64">
        <f>H304*AP304</f>
        <v>15.9</v>
      </c>
      <c r="L304" s="64">
        <f>H304*I304</f>
        <v>15.9</v>
      </c>
      <c r="M304" s="73"/>
      <c r="N304" s="19"/>
      <c r="Z304" s="35">
        <f>IF(AQ304="5",BJ304,0)</f>
        <v>0</v>
      </c>
      <c r="AB304" s="35">
        <f>IF(AQ304="1",BH304,0)</f>
        <v>0</v>
      </c>
      <c r="AC304" s="35">
        <f>IF(AQ304="1",BI304,0)</f>
        <v>0</v>
      </c>
      <c r="AD304" s="35">
        <f>IF(AQ304="7",BH304,0)</f>
        <v>0</v>
      </c>
      <c r="AE304" s="35">
        <f>IF(AQ304="7",BI304,0)</f>
        <v>15.9</v>
      </c>
      <c r="AF304" s="35">
        <f>IF(AQ304="2",BH304,0)</f>
        <v>0</v>
      </c>
      <c r="AG304" s="35">
        <f>IF(AQ304="2",BI304,0)</f>
        <v>0</v>
      </c>
      <c r="AH304" s="35">
        <f>IF(AQ304="0",BJ304,0)</f>
        <v>0</v>
      </c>
      <c r="AI304" s="77" t="s">
        <v>62</v>
      </c>
      <c r="AJ304" s="64">
        <f>IF(AN304=0,L304,0)</f>
        <v>0</v>
      </c>
      <c r="AK304" s="64">
        <f>IF(AN304=15,L304,0)</f>
        <v>0</v>
      </c>
      <c r="AL304" s="64">
        <f>IF(AN304=21,L304,0)</f>
        <v>15.9</v>
      </c>
      <c r="AN304" s="35">
        <v>21</v>
      </c>
      <c r="AO304" s="35">
        <f>I304*0</f>
        <v>0</v>
      </c>
      <c r="AP304" s="35">
        <f>I304*(1-0)</f>
        <v>15.9</v>
      </c>
      <c r="AQ304" s="78" t="s">
        <v>235</v>
      </c>
      <c r="AV304" s="35">
        <f>AW304+AX304</f>
        <v>15.9</v>
      </c>
      <c r="AW304" s="35">
        <f>H304*AO304</f>
        <v>0</v>
      </c>
      <c r="AX304" s="35">
        <f>H304*AP304</f>
        <v>15.9</v>
      </c>
      <c r="AY304" s="80" t="s">
        <v>1697</v>
      </c>
      <c r="AZ304" s="80" t="s">
        <v>1738</v>
      </c>
      <c r="BA304" s="77" t="s">
        <v>1775</v>
      </c>
      <c r="BC304" s="35">
        <f>AW304+AX304</f>
        <v>15.9</v>
      </c>
      <c r="BD304" s="35">
        <f>I304/(100-BE304)*100</f>
        <v>15.9</v>
      </c>
      <c r="BE304" s="35">
        <v>0</v>
      </c>
      <c r="BF304" s="35">
        <f>304</f>
        <v>304</v>
      </c>
      <c r="BH304" s="64">
        <f>H304*AO304</f>
        <v>0</v>
      </c>
      <c r="BI304" s="64">
        <f>H304*AP304</f>
        <v>15.9</v>
      </c>
      <c r="BJ304" s="64">
        <f>H304*I304</f>
        <v>15.9</v>
      </c>
      <c r="BK304" s="64" t="s">
        <v>1790</v>
      </c>
      <c r="BL304" s="35">
        <v>735</v>
      </c>
    </row>
    <row r="305" spans="1:64">
      <c r="A305" s="19"/>
      <c r="C305" s="59" t="s">
        <v>730</v>
      </c>
      <c r="D305" s="167" t="s">
        <v>1330</v>
      </c>
      <c r="E305" s="168"/>
      <c r="F305" s="168"/>
      <c r="G305" s="168"/>
      <c r="H305" s="168"/>
      <c r="I305" s="168"/>
      <c r="J305" s="168"/>
      <c r="K305" s="168"/>
      <c r="L305" s="168"/>
      <c r="M305" s="169"/>
      <c r="N305" s="19"/>
    </row>
    <row r="306" spans="1:64">
      <c r="A306" s="46"/>
      <c r="B306" s="54" t="s">
        <v>62</v>
      </c>
      <c r="C306" s="54" t="s">
        <v>159</v>
      </c>
      <c r="D306" s="163" t="s">
        <v>40</v>
      </c>
      <c r="E306" s="164"/>
      <c r="F306" s="164"/>
      <c r="G306" s="61" t="s">
        <v>57</v>
      </c>
      <c r="H306" s="61" t="s">
        <v>57</v>
      </c>
      <c r="I306" s="61" t="s">
        <v>57</v>
      </c>
      <c r="J306" s="83">
        <f>SUM(J307:J307)</f>
        <v>0</v>
      </c>
      <c r="K306" s="83">
        <f>SUM(K307:K307)</f>
        <v>14000</v>
      </c>
      <c r="L306" s="83">
        <f>SUM(L307:L307)</f>
        <v>14000</v>
      </c>
      <c r="M306" s="72"/>
      <c r="N306" s="19"/>
      <c r="AI306" s="77" t="s">
        <v>62</v>
      </c>
      <c r="AS306" s="83">
        <f>SUM(AJ307:AJ307)</f>
        <v>0</v>
      </c>
      <c r="AT306" s="83">
        <f>SUM(AK307:AK307)</f>
        <v>0</v>
      </c>
      <c r="AU306" s="83">
        <f>SUM(AL307:AL307)</f>
        <v>14000</v>
      </c>
    </row>
    <row r="307" spans="1:64">
      <c r="A307" s="47" t="s">
        <v>406</v>
      </c>
      <c r="B307" s="55" t="s">
        <v>62</v>
      </c>
      <c r="C307" s="55" t="s">
        <v>908</v>
      </c>
      <c r="D307" s="165" t="s">
        <v>1331</v>
      </c>
      <c r="E307" s="166"/>
      <c r="F307" s="166"/>
      <c r="G307" s="55" t="s">
        <v>1640</v>
      </c>
      <c r="H307" s="64">
        <v>70</v>
      </c>
      <c r="I307" s="64">
        <v>200</v>
      </c>
      <c r="J307" s="64">
        <f>H307*AO307</f>
        <v>0</v>
      </c>
      <c r="K307" s="64">
        <f>H307*AP307</f>
        <v>14000</v>
      </c>
      <c r="L307" s="64">
        <f>H307*I307</f>
        <v>14000</v>
      </c>
      <c r="M307" s="73"/>
      <c r="N307" s="19"/>
      <c r="Z307" s="35">
        <f>IF(AQ307="5",BJ307,0)</f>
        <v>0</v>
      </c>
      <c r="AB307" s="35">
        <f>IF(AQ307="1",BH307,0)</f>
        <v>0</v>
      </c>
      <c r="AC307" s="35">
        <f>IF(AQ307="1",BI307,0)</f>
        <v>14000</v>
      </c>
      <c r="AD307" s="35">
        <f>IF(AQ307="7",BH307,0)</f>
        <v>0</v>
      </c>
      <c r="AE307" s="35">
        <f>IF(AQ307="7",BI307,0)</f>
        <v>0</v>
      </c>
      <c r="AF307" s="35">
        <f>IF(AQ307="2",BH307,0)</f>
        <v>0</v>
      </c>
      <c r="AG307" s="35">
        <f>IF(AQ307="2",BI307,0)</f>
        <v>0</v>
      </c>
      <c r="AH307" s="35">
        <f>IF(AQ307="0",BJ307,0)</f>
        <v>0</v>
      </c>
      <c r="AI307" s="77" t="s">
        <v>62</v>
      </c>
      <c r="AJ307" s="64">
        <f>IF(AN307=0,L307,0)</f>
        <v>0</v>
      </c>
      <c r="AK307" s="64">
        <f>IF(AN307=15,L307,0)</f>
        <v>0</v>
      </c>
      <c r="AL307" s="64">
        <f>IF(AN307=21,L307,0)</f>
        <v>14000</v>
      </c>
      <c r="AN307" s="35">
        <v>21</v>
      </c>
      <c r="AO307" s="35">
        <f>I307*0</f>
        <v>0</v>
      </c>
      <c r="AP307" s="35">
        <f>I307*(1-0)</f>
        <v>200</v>
      </c>
      <c r="AQ307" s="78" t="s">
        <v>109</v>
      </c>
      <c r="AV307" s="35">
        <f>AW307+AX307</f>
        <v>14000</v>
      </c>
      <c r="AW307" s="35">
        <f>H307*AO307</f>
        <v>0</v>
      </c>
      <c r="AX307" s="35">
        <f>H307*AP307</f>
        <v>14000</v>
      </c>
      <c r="AY307" s="80" t="s">
        <v>1698</v>
      </c>
      <c r="AZ307" s="80" t="s">
        <v>1739</v>
      </c>
      <c r="BA307" s="77" t="s">
        <v>1775</v>
      </c>
      <c r="BC307" s="35">
        <f>AW307+AX307</f>
        <v>14000</v>
      </c>
      <c r="BD307" s="35">
        <f>I307/(100-BE307)*100</f>
        <v>200</v>
      </c>
      <c r="BE307" s="35">
        <v>0</v>
      </c>
      <c r="BF307" s="35">
        <f>307</f>
        <v>307</v>
      </c>
      <c r="BH307" s="64">
        <f>H307*AO307</f>
        <v>0</v>
      </c>
      <c r="BI307" s="64">
        <f>H307*AP307</f>
        <v>14000</v>
      </c>
      <c r="BJ307" s="64">
        <f>H307*I307</f>
        <v>14000</v>
      </c>
      <c r="BK307" s="64" t="s">
        <v>1790</v>
      </c>
      <c r="BL307" s="35" t="s">
        <v>159</v>
      </c>
    </row>
    <row r="308" spans="1:64">
      <c r="A308" s="19"/>
      <c r="C308" s="59" t="s">
        <v>730</v>
      </c>
      <c r="D308" s="167" t="s">
        <v>1331</v>
      </c>
      <c r="E308" s="168"/>
      <c r="F308" s="168"/>
      <c r="G308" s="168"/>
      <c r="H308" s="168"/>
      <c r="I308" s="168"/>
      <c r="J308" s="168"/>
      <c r="K308" s="168"/>
      <c r="L308" s="168"/>
      <c r="M308" s="169"/>
      <c r="N308" s="19"/>
    </row>
    <row r="309" spans="1:64">
      <c r="A309" s="49"/>
      <c r="B309" s="57" t="s">
        <v>63</v>
      </c>
      <c r="C309" s="57"/>
      <c r="D309" s="172" t="s">
        <v>79</v>
      </c>
      <c r="E309" s="173"/>
      <c r="F309" s="173"/>
      <c r="G309" s="62" t="s">
        <v>57</v>
      </c>
      <c r="H309" s="62" t="s">
        <v>57</v>
      </c>
      <c r="I309" s="62" t="s">
        <v>57</v>
      </c>
      <c r="J309" s="84">
        <f>J310+J319+J344+J353</f>
        <v>103197.6</v>
      </c>
      <c r="K309" s="84">
        <f>K310+K319+K344+K353</f>
        <v>88038.349560000002</v>
      </c>
      <c r="L309" s="84">
        <f>L310+L319+L344+L353</f>
        <v>191235.94956000001</v>
      </c>
      <c r="M309" s="75"/>
      <c r="N309" s="19"/>
    </row>
    <row r="310" spans="1:64">
      <c r="A310" s="46"/>
      <c r="B310" s="54" t="s">
        <v>63</v>
      </c>
      <c r="C310" s="54" t="s">
        <v>156</v>
      </c>
      <c r="D310" s="163" t="s">
        <v>207</v>
      </c>
      <c r="E310" s="164"/>
      <c r="F310" s="164"/>
      <c r="G310" s="61" t="s">
        <v>57</v>
      </c>
      <c r="H310" s="61" t="s">
        <v>57</v>
      </c>
      <c r="I310" s="61" t="s">
        <v>57</v>
      </c>
      <c r="J310" s="83">
        <f>SUM(J311:J317)</f>
        <v>0</v>
      </c>
      <c r="K310" s="83">
        <f>SUM(K311:K317)</f>
        <v>27303.694799999997</v>
      </c>
      <c r="L310" s="83">
        <f>SUM(L311:L317)</f>
        <v>27303.694799999997</v>
      </c>
      <c r="M310" s="72"/>
      <c r="N310" s="19"/>
      <c r="AI310" s="77" t="s">
        <v>63</v>
      </c>
      <c r="AS310" s="83">
        <f>SUM(AJ311:AJ317)</f>
        <v>0</v>
      </c>
      <c r="AT310" s="83">
        <f>SUM(AK311:AK317)</f>
        <v>0</v>
      </c>
      <c r="AU310" s="83">
        <f>SUM(AL311:AL317)</f>
        <v>27303.694799999997</v>
      </c>
    </row>
    <row r="311" spans="1:64">
      <c r="A311" s="47" t="s">
        <v>407</v>
      </c>
      <c r="B311" s="55" t="s">
        <v>63</v>
      </c>
      <c r="C311" s="55" t="s">
        <v>909</v>
      </c>
      <c r="D311" s="165" t="s">
        <v>1332</v>
      </c>
      <c r="E311" s="166"/>
      <c r="F311" s="166"/>
      <c r="G311" s="55" t="s">
        <v>1642</v>
      </c>
      <c r="H311" s="64">
        <v>40</v>
      </c>
      <c r="I311" s="64">
        <v>7.27</v>
      </c>
      <c r="J311" s="64">
        <f>H311*AO311</f>
        <v>0</v>
      </c>
      <c r="K311" s="64">
        <f>H311*AP311</f>
        <v>290.79999999999995</v>
      </c>
      <c r="L311" s="64">
        <f>H311*I311</f>
        <v>290.79999999999995</v>
      </c>
      <c r="M311" s="73" t="s">
        <v>1660</v>
      </c>
      <c r="N311" s="19"/>
      <c r="Z311" s="35">
        <f>IF(AQ311="5",BJ311,0)</f>
        <v>0</v>
      </c>
      <c r="AB311" s="35">
        <f>IF(AQ311="1",BH311,0)</f>
        <v>0</v>
      </c>
      <c r="AC311" s="35">
        <f>IF(AQ311="1",BI311,0)</f>
        <v>0</v>
      </c>
      <c r="AD311" s="35">
        <f>IF(AQ311="7",BH311,0)</f>
        <v>0</v>
      </c>
      <c r="AE311" s="35">
        <f>IF(AQ311="7",BI311,0)</f>
        <v>290.79999999999995</v>
      </c>
      <c r="AF311" s="35">
        <f>IF(AQ311="2",BH311,0)</f>
        <v>0</v>
      </c>
      <c r="AG311" s="35">
        <f>IF(AQ311="2",BI311,0)</f>
        <v>0</v>
      </c>
      <c r="AH311" s="35">
        <f>IF(AQ311="0",BJ311,0)</f>
        <v>0</v>
      </c>
      <c r="AI311" s="77" t="s">
        <v>63</v>
      </c>
      <c r="AJ311" s="64">
        <f>IF(AN311=0,L311,0)</f>
        <v>0</v>
      </c>
      <c r="AK311" s="64">
        <f>IF(AN311=15,L311,0)</f>
        <v>0</v>
      </c>
      <c r="AL311" s="64">
        <f>IF(AN311=21,L311,0)</f>
        <v>290.79999999999995</v>
      </c>
      <c r="AN311" s="35">
        <v>21</v>
      </c>
      <c r="AO311" s="35">
        <f>I311*0</f>
        <v>0</v>
      </c>
      <c r="AP311" s="35">
        <f>I311*(1-0)</f>
        <v>7.27</v>
      </c>
      <c r="AQ311" s="78" t="s">
        <v>235</v>
      </c>
      <c r="AV311" s="35">
        <f>AW311+AX311</f>
        <v>290.79999999999995</v>
      </c>
      <c r="AW311" s="35">
        <f>H311*AO311</f>
        <v>0</v>
      </c>
      <c r="AX311" s="35">
        <f>H311*AP311</f>
        <v>290.79999999999995</v>
      </c>
      <c r="AY311" s="80" t="s">
        <v>1695</v>
      </c>
      <c r="AZ311" s="80" t="s">
        <v>1740</v>
      </c>
      <c r="BA311" s="77" t="s">
        <v>1776</v>
      </c>
      <c r="BC311" s="35">
        <f>AW311+AX311</f>
        <v>290.79999999999995</v>
      </c>
      <c r="BD311" s="35">
        <f>I311/(100-BE311)*100</f>
        <v>7.2700000000000005</v>
      </c>
      <c r="BE311" s="35">
        <v>0</v>
      </c>
      <c r="BF311" s="35">
        <f>311</f>
        <v>311</v>
      </c>
      <c r="BH311" s="64">
        <f>H311*AO311</f>
        <v>0</v>
      </c>
      <c r="BI311" s="64">
        <f>H311*AP311</f>
        <v>290.79999999999995</v>
      </c>
      <c r="BJ311" s="64">
        <f>H311*I311</f>
        <v>290.79999999999995</v>
      </c>
      <c r="BK311" s="64" t="s">
        <v>1790</v>
      </c>
      <c r="BL311" s="35">
        <v>733</v>
      </c>
    </row>
    <row r="312" spans="1:64">
      <c r="A312" s="19"/>
      <c r="C312" s="59" t="s">
        <v>730</v>
      </c>
      <c r="D312" s="167" t="s">
        <v>1332</v>
      </c>
      <c r="E312" s="168"/>
      <c r="F312" s="168"/>
      <c r="G312" s="168"/>
      <c r="H312" s="168"/>
      <c r="I312" s="168"/>
      <c r="J312" s="168"/>
      <c r="K312" s="168"/>
      <c r="L312" s="168"/>
      <c r="M312" s="169"/>
      <c r="N312" s="19"/>
    </row>
    <row r="313" spans="1:64">
      <c r="A313" s="47" t="s">
        <v>408</v>
      </c>
      <c r="B313" s="55" t="s">
        <v>63</v>
      </c>
      <c r="C313" s="55" t="s">
        <v>910</v>
      </c>
      <c r="D313" s="165" t="s">
        <v>1333</v>
      </c>
      <c r="E313" s="166"/>
      <c r="F313" s="166"/>
      <c r="G313" s="55" t="s">
        <v>1641</v>
      </c>
      <c r="H313" s="64">
        <v>42</v>
      </c>
      <c r="I313" s="64">
        <v>287</v>
      </c>
      <c r="J313" s="64">
        <f>H313*AO313</f>
        <v>0</v>
      </c>
      <c r="K313" s="64">
        <f>H313*AP313</f>
        <v>12054</v>
      </c>
      <c r="L313" s="64">
        <f>H313*I313</f>
        <v>12054</v>
      </c>
      <c r="M313" s="73" t="s">
        <v>1660</v>
      </c>
      <c r="N313" s="19"/>
      <c r="Z313" s="35">
        <f>IF(AQ313="5",BJ313,0)</f>
        <v>0</v>
      </c>
      <c r="AB313" s="35">
        <f>IF(AQ313="1",BH313,0)</f>
        <v>0</v>
      </c>
      <c r="AC313" s="35">
        <f>IF(AQ313="1",BI313,0)</f>
        <v>0</v>
      </c>
      <c r="AD313" s="35">
        <f>IF(AQ313="7",BH313,0)</f>
        <v>0</v>
      </c>
      <c r="AE313" s="35">
        <f>IF(AQ313="7",BI313,0)</f>
        <v>12054</v>
      </c>
      <c r="AF313" s="35">
        <f>IF(AQ313="2",BH313,0)</f>
        <v>0</v>
      </c>
      <c r="AG313" s="35">
        <f>IF(AQ313="2",BI313,0)</f>
        <v>0</v>
      </c>
      <c r="AH313" s="35">
        <f>IF(AQ313="0",BJ313,0)</f>
        <v>0</v>
      </c>
      <c r="AI313" s="77" t="s">
        <v>63</v>
      </c>
      <c r="AJ313" s="64">
        <f>IF(AN313=0,L313,0)</f>
        <v>0</v>
      </c>
      <c r="AK313" s="64">
        <f>IF(AN313=15,L313,0)</f>
        <v>0</v>
      </c>
      <c r="AL313" s="64">
        <f>IF(AN313=21,L313,0)</f>
        <v>12054</v>
      </c>
      <c r="AN313" s="35">
        <v>21</v>
      </c>
      <c r="AO313" s="35">
        <f>I313*0</f>
        <v>0</v>
      </c>
      <c r="AP313" s="35">
        <f>I313*(1-0)</f>
        <v>287</v>
      </c>
      <c r="AQ313" s="78" t="s">
        <v>235</v>
      </c>
      <c r="AV313" s="35">
        <f>AW313+AX313</f>
        <v>12054</v>
      </c>
      <c r="AW313" s="35">
        <f>H313*AO313</f>
        <v>0</v>
      </c>
      <c r="AX313" s="35">
        <f>H313*AP313</f>
        <v>12054</v>
      </c>
      <c r="AY313" s="80" t="s">
        <v>1695</v>
      </c>
      <c r="AZ313" s="80" t="s">
        <v>1740</v>
      </c>
      <c r="BA313" s="77" t="s">
        <v>1776</v>
      </c>
      <c r="BC313" s="35">
        <f>AW313+AX313</f>
        <v>12054</v>
      </c>
      <c r="BD313" s="35">
        <f>I313/(100-BE313)*100</f>
        <v>287</v>
      </c>
      <c r="BE313" s="35">
        <v>0</v>
      </c>
      <c r="BF313" s="35">
        <f>313</f>
        <v>313</v>
      </c>
      <c r="BH313" s="64">
        <f>H313*AO313</f>
        <v>0</v>
      </c>
      <c r="BI313" s="64">
        <f>H313*AP313</f>
        <v>12054</v>
      </c>
      <c r="BJ313" s="64">
        <f>H313*I313</f>
        <v>12054</v>
      </c>
      <c r="BK313" s="64" t="s">
        <v>1790</v>
      </c>
      <c r="BL313" s="35">
        <v>733</v>
      </c>
    </row>
    <row r="314" spans="1:64">
      <c r="A314" s="19"/>
      <c r="C314" s="59" t="s">
        <v>730</v>
      </c>
      <c r="D314" s="167" t="s">
        <v>1333</v>
      </c>
      <c r="E314" s="168"/>
      <c r="F314" s="168"/>
      <c r="G314" s="168"/>
      <c r="H314" s="168"/>
      <c r="I314" s="168"/>
      <c r="J314" s="168"/>
      <c r="K314" s="168"/>
      <c r="L314" s="168"/>
      <c r="M314" s="169"/>
      <c r="N314" s="19"/>
    </row>
    <row r="315" spans="1:64">
      <c r="A315" s="47" t="s">
        <v>409</v>
      </c>
      <c r="B315" s="55" t="s">
        <v>63</v>
      </c>
      <c r="C315" s="55" t="s">
        <v>911</v>
      </c>
      <c r="D315" s="165" t="s">
        <v>1334</v>
      </c>
      <c r="E315" s="166"/>
      <c r="F315" s="166"/>
      <c r="G315" s="55" t="s">
        <v>1641</v>
      </c>
      <c r="H315" s="64">
        <v>38</v>
      </c>
      <c r="I315" s="64">
        <v>379</v>
      </c>
      <c r="J315" s="64">
        <f>H315*AO315</f>
        <v>0</v>
      </c>
      <c r="K315" s="64">
        <f>H315*AP315</f>
        <v>14402</v>
      </c>
      <c r="L315" s="64">
        <f>H315*I315</f>
        <v>14402</v>
      </c>
      <c r="M315" s="73"/>
      <c r="N315" s="19"/>
      <c r="Z315" s="35">
        <f>IF(AQ315="5",BJ315,0)</f>
        <v>0</v>
      </c>
      <c r="AB315" s="35">
        <f>IF(AQ315="1",BH315,0)</f>
        <v>0</v>
      </c>
      <c r="AC315" s="35">
        <f>IF(AQ315="1",BI315,0)</f>
        <v>0</v>
      </c>
      <c r="AD315" s="35">
        <f>IF(AQ315="7",BH315,0)</f>
        <v>0</v>
      </c>
      <c r="AE315" s="35">
        <f>IF(AQ315="7",BI315,0)</f>
        <v>14402</v>
      </c>
      <c r="AF315" s="35">
        <f>IF(AQ315="2",BH315,0)</f>
        <v>0</v>
      </c>
      <c r="AG315" s="35">
        <f>IF(AQ315="2",BI315,0)</f>
        <v>0</v>
      </c>
      <c r="AH315" s="35">
        <f>IF(AQ315="0",BJ315,0)</f>
        <v>0</v>
      </c>
      <c r="AI315" s="77" t="s">
        <v>63</v>
      </c>
      <c r="AJ315" s="64">
        <f>IF(AN315=0,L315,0)</f>
        <v>0</v>
      </c>
      <c r="AK315" s="64">
        <f>IF(AN315=15,L315,0)</f>
        <v>0</v>
      </c>
      <c r="AL315" s="64">
        <f>IF(AN315=21,L315,0)</f>
        <v>14402</v>
      </c>
      <c r="AN315" s="35">
        <v>21</v>
      </c>
      <c r="AO315" s="35">
        <f>I315*0</f>
        <v>0</v>
      </c>
      <c r="AP315" s="35">
        <f>I315*(1-0)</f>
        <v>379</v>
      </c>
      <c r="AQ315" s="78" t="s">
        <v>235</v>
      </c>
      <c r="AV315" s="35">
        <f>AW315+AX315</f>
        <v>14402</v>
      </c>
      <c r="AW315" s="35">
        <f>H315*AO315</f>
        <v>0</v>
      </c>
      <c r="AX315" s="35">
        <f>H315*AP315</f>
        <v>14402</v>
      </c>
      <c r="AY315" s="80" t="s">
        <v>1695</v>
      </c>
      <c r="AZ315" s="80" t="s">
        <v>1740</v>
      </c>
      <c r="BA315" s="77" t="s">
        <v>1776</v>
      </c>
      <c r="BC315" s="35">
        <f>AW315+AX315</f>
        <v>14402</v>
      </c>
      <c r="BD315" s="35">
        <f>I315/(100-BE315)*100</f>
        <v>379</v>
      </c>
      <c r="BE315" s="35">
        <v>0</v>
      </c>
      <c r="BF315" s="35">
        <f>315</f>
        <v>315</v>
      </c>
      <c r="BH315" s="64">
        <f>H315*AO315</f>
        <v>0</v>
      </c>
      <c r="BI315" s="64">
        <f>H315*AP315</f>
        <v>14402</v>
      </c>
      <c r="BJ315" s="64">
        <f>H315*I315</f>
        <v>14402</v>
      </c>
      <c r="BK315" s="64" t="s">
        <v>1790</v>
      </c>
      <c r="BL315" s="35">
        <v>733</v>
      </c>
    </row>
    <row r="316" spans="1:64">
      <c r="A316" s="19"/>
      <c r="C316" s="59" t="s">
        <v>730</v>
      </c>
      <c r="D316" s="167" t="s">
        <v>1334</v>
      </c>
      <c r="E316" s="168"/>
      <c r="F316" s="168"/>
      <c r="G316" s="168"/>
      <c r="H316" s="168"/>
      <c r="I316" s="168"/>
      <c r="J316" s="168"/>
      <c r="K316" s="168"/>
      <c r="L316" s="168"/>
      <c r="M316" s="169"/>
      <c r="N316" s="19"/>
    </row>
    <row r="317" spans="1:64">
      <c r="A317" s="47" t="s">
        <v>410</v>
      </c>
      <c r="B317" s="55" t="s">
        <v>63</v>
      </c>
      <c r="C317" s="55" t="s">
        <v>912</v>
      </c>
      <c r="D317" s="165" t="s">
        <v>1335</v>
      </c>
      <c r="E317" s="166"/>
      <c r="F317" s="166"/>
      <c r="G317" s="55" t="s">
        <v>1644</v>
      </c>
      <c r="H317" s="64">
        <v>168.756</v>
      </c>
      <c r="I317" s="64">
        <v>3.3</v>
      </c>
      <c r="J317" s="64">
        <f>H317*AO317</f>
        <v>0</v>
      </c>
      <c r="K317" s="64">
        <f>H317*AP317</f>
        <v>556.89479999999992</v>
      </c>
      <c r="L317" s="64">
        <f>H317*I317</f>
        <v>556.89479999999992</v>
      </c>
      <c r="M317" s="73" t="s">
        <v>1660</v>
      </c>
      <c r="N317" s="19"/>
      <c r="Z317" s="35">
        <f>IF(AQ317="5",BJ317,0)</f>
        <v>0</v>
      </c>
      <c r="AB317" s="35">
        <f>IF(AQ317="1",BH317,0)</f>
        <v>0</v>
      </c>
      <c r="AC317" s="35">
        <f>IF(AQ317="1",BI317,0)</f>
        <v>0</v>
      </c>
      <c r="AD317" s="35">
        <f>IF(AQ317="7",BH317,0)</f>
        <v>0</v>
      </c>
      <c r="AE317" s="35">
        <f>IF(AQ317="7",BI317,0)</f>
        <v>556.89479999999992</v>
      </c>
      <c r="AF317" s="35">
        <f>IF(AQ317="2",BH317,0)</f>
        <v>0</v>
      </c>
      <c r="AG317" s="35">
        <f>IF(AQ317="2",BI317,0)</f>
        <v>0</v>
      </c>
      <c r="AH317" s="35">
        <f>IF(AQ317="0",BJ317,0)</f>
        <v>0</v>
      </c>
      <c r="AI317" s="77" t="s">
        <v>63</v>
      </c>
      <c r="AJ317" s="64">
        <f>IF(AN317=0,L317,0)</f>
        <v>0</v>
      </c>
      <c r="AK317" s="64">
        <f>IF(AN317=15,L317,0)</f>
        <v>0</v>
      </c>
      <c r="AL317" s="64">
        <f>IF(AN317=21,L317,0)</f>
        <v>556.89479999999992</v>
      </c>
      <c r="AN317" s="35">
        <v>21</v>
      </c>
      <c r="AO317" s="35">
        <f>I317*0</f>
        <v>0</v>
      </c>
      <c r="AP317" s="35">
        <f>I317*(1-0)</f>
        <v>3.3</v>
      </c>
      <c r="AQ317" s="78" t="s">
        <v>235</v>
      </c>
      <c r="AV317" s="35">
        <f>AW317+AX317</f>
        <v>556.89479999999992</v>
      </c>
      <c r="AW317" s="35">
        <f>H317*AO317</f>
        <v>0</v>
      </c>
      <c r="AX317" s="35">
        <f>H317*AP317</f>
        <v>556.89479999999992</v>
      </c>
      <c r="AY317" s="80" t="s">
        <v>1695</v>
      </c>
      <c r="AZ317" s="80" t="s">
        <v>1740</v>
      </c>
      <c r="BA317" s="77" t="s">
        <v>1776</v>
      </c>
      <c r="BC317" s="35">
        <f>AW317+AX317</f>
        <v>556.89479999999992</v>
      </c>
      <c r="BD317" s="35">
        <f>I317/(100-BE317)*100</f>
        <v>3.3000000000000003</v>
      </c>
      <c r="BE317" s="35">
        <v>0</v>
      </c>
      <c r="BF317" s="35">
        <f>317</f>
        <v>317</v>
      </c>
      <c r="BH317" s="64">
        <f>H317*AO317</f>
        <v>0</v>
      </c>
      <c r="BI317" s="64">
        <f>H317*AP317</f>
        <v>556.89479999999992</v>
      </c>
      <c r="BJ317" s="64">
        <f>H317*I317</f>
        <v>556.89479999999992</v>
      </c>
      <c r="BK317" s="64" t="s">
        <v>1790</v>
      </c>
      <c r="BL317" s="35">
        <v>733</v>
      </c>
    </row>
    <row r="318" spans="1:64">
      <c r="A318" s="19"/>
      <c r="C318" s="59" t="s">
        <v>730</v>
      </c>
      <c r="D318" s="167" t="s">
        <v>1336</v>
      </c>
      <c r="E318" s="168"/>
      <c r="F318" s="168"/>
      <c r="G318" s="168"/>
      <c r="H318" s="168"/>
      <c r="I318" s="168"/>
      <c r="J318" s="168"/>
      <c r="K318" s="168"/>
      <c r="L318" s="168"/>
      <c r="M318" s="169"/>
      <c r="N318" s="19"/>
    </row>
    <row r="319" spans="1:64">
      <c r="A319" s="46"/>
      <c r="B319" s="54" t="s">
        <v>63</v>
      </c>
      <c r="C319" s="54" t="s">
        <v>157</v>
      </c>
      <c r="D319" s="163" t="s">
        <v>208</v>
      </c>
      <c r="E319" s="164"/>
      <c r="F319" s="164"/>
      <c r="G319" s="61" t="s">
        <v>57</v>
      </c>
      <c r="H319" s="61" t="s">
        <v>57</v>
      </c>
      <c r="I319" s="61" t="s">
        <v>57</v>
      </c>
      <c r="J319" s="83">
        <f>SUM(J320:J342)</f>
        <v>103197.6</v>
      </c>
      <c r="K319" s="83">
        <f>SUM(K320:K342)</f>
        <v>23314.286759999999</v>
      </c>
      <c r="L319" s="83">
        <f>SUM(L320:L342)</f>
        <v>126511.88676000001</v>
      </c>
      <c r="M319" s="72"/>
      <c r="N319" s="19"/>
      <c r="AI319" s="77" t="s">
        <v>63</v>
      </c>
      <c r="AS319" s="83">
        <f>SUM(AJ320:AJ342)</f>
        <v>0</v>
      </c>
      <c r="AT319" s="83">
        <f>SUM(AK320:AK342)</f>
        <v>0</v>
      </c>
      <c r="AU319" s="83">
        <f>SUM(AL320:AL342)</f>
        <v>126511.88676000001</v>
      </c>
    </row>
    <row r="320" spans="1:64">
      <c r="A320" s="47" t="s">
        <v>411</v>
      </c>
      <c r="B320" s="55" t="s">
        <v>63</v>
      </c>
      <c r="C320" s="55" t="s">
        <v>913</v>
      </c>
      <c r="D320" s="165" t="s">
        <v>1337</v>
      </c>
      <c r="E320" s="166"/>
      <c r="F320" s="166"/>
      <c r="G320" s="55" t="s">
        <v>1640</v>
      </c>
      <c r="H320" s="64">
        <v>80</v>
      </c>
      <c r="I320" s="64">
        <v>104.5</v>
      </c>
      <c r="J320" s="64">
        <f>H320*AO320</f>
        <v>0</v>
      </c>
      <c r="K320" s="64">
        <f>H320*AP320</f>
        <v>8360</v>
      </c>
      <c r="L320" s="64">
        <f>H320*I320</f>
        <v>8360</v>
      </c>
      <c r="M320" s="73"/>
      <c r="N320" s="19"/>
      <c r="Z320" s="35">
        <f>IF(AQ320="5",BJ320,0)</f>
        <v>0</v>
      </c>
      <c r="AB320" s="35">
        <f>IF(AQ320="1",BH320,0)</f>
        <v>0</v>
      </c>
      <c r="AC320" s="35">
        <f>IF(AQ320="1",BI320,0)</f>
        <v>0</v>
      </c>
      <c r="AD320" s="35">
        <f>IF(AQ320="7",BH320,0)</f>
        <v>0</v>
      </c>
      <c r="AE320" s="35">
        <f>IF(AQ320="7",BI320,0)</f>
        <v>8360</v>
      </c>
      <c r="AF320" s="35">
        <f>IF(AQ320="2",BH320,0)</f>
        <v>0</v>
      </c>
      <c r="AG320" s="35">
        <f>IF(AQ320="2",BI320,0)</f>
        <v>0</v>
      </c>
      <c r="AH320" s="35">
        <f>IF(AQ320="0",BJ320,0)</f>
        <v>0</v>
      </c>
      <c r="AI320" s="77" t="s">
        <v>63</v>
      </c>
      <c r="AJ320" s="64">
        <f>IF(AN320=0,L320,0)</f>
        <v>0</v>
      </c>
      <c r="AK320" s="64">
        <f>IF(AN320=15,L320,0)</f>
        <v>0</v>
      </c>
      <c r="AL320" s="64">
        <f>IF(AN320=21,L320,0)</f>
        <v>8360</v>
      </c>
      <c r="AN320" s="35">
        <v>21</v>
      </c>
      <c r="AO320" s="35">
        <f>I320*0</f>
        <v>0</v>
      </c>
      <c r="AP320" s="35">
        <f>I320*(1-0)</f>
        <v>104.5</v>
      </c>
      <c r="AQ320" s="78" t="s">
        <v>235</v>
      </c>
      <c r="AV320" s="35">
        <f>AW320+AX320</f>
        <v>8360</v>
      </c>
      <c r="AW320" s="35">
        <f>H320*AO320</f>
        <v>0</v>
      </c>
      <c r="AX320" s="35">
        <f>H320*AP320</f>
        <v>8360</v>
      </c>
      <c r="AY320" s="80" t="s">
        <v>1696</v>
      </c>
      <c r="AZ320" s="80" t="s">
        <v>1740</v>
      </c>
      <c r="BA320" s="77" t="s">
        <v>1776</v>
      </c>
      <c r="BC320" s="35">
        <f>AW320+AX320</f>
        <v>8360</v>
      </c>
      <c r="BD320" s="35">
        <f>I320/(100-BE320)*100</f>
        <v>104.5</v>
      </c>
      <c r="BE320" s="35">
        <v>0</v>
      </c>
      <c r="BF320" s="35">
        <f>320</f>
        <v>320</v>
      </c>
      <c r="BH320" s="64">
        <f>H320*AO320</f>
        <v>0</v>
      </c>
      <c r="BI320" s="64">
        <f>H320*AP320</f>
        <v>8360</v>
      </c>
      <c r="BJ320" s="64">
        <f>H320*I320</f>
        <v>8360</v>
      </c>
      <c r="BK320" s="64" t="s">
        <v>1790</v>
      </c>
      <c r="BL320" s="35">
        <v>734</v>
      </c>
    </row>
    <row r="321" spans="1:64">
      <c r="A321" s="19"/>
      <c r="C321" s="59" t="s">
        <v>730</v>
      </c>
      <c r="D321" s="167" t="s">
        <v>1337</v>
      </c>
      <c r="E321" s="168"/>
      <c r="F321" s="168"/>
      <c r="G321" s="168"/>
      <c r="H321" s="168"/>
      <c r="I321" s="168"/>
      <c r="J321" s="168"/>
      <c r="K321" s="168"/>
      <c r="L321" s="168"/>
      <c r="M321" s="169"/>
      <c r="N321" s="19"/>
    </row>
    <row r="322" spans="1:64">
      <c r="A322" s="47" t="s">
        <v>412</v>
      </c>
      <c r="B322" s="55" t="s">
        <v>63</v>
      </c>
      <c r="C322" s="55" t="s">
        <v>914</v>
      </c>
      <c r="D322" s="165" t="s">
        <v>1338</v>
      </c>
      <c r="E322" s="166"/>
      <c r="F322" s="166"/>
      <c r="G322" s="55" t="s">
        <v>1641</v>
      </c>
      <c r="H322" s="64">
        <v>80</v>
      </c>
      <c r="I322" s="64">
        <v>26.07</v>
      </c>
      <c r="J322" s="64">
        <f>H322*AO322</f>
        <v>0</v>
      </c>
      <c r="K322" s="64">
        <f>H322*AP322</f>
        <v>2085.6</v>
      </c>
      <c r="L322" s="64">
        <f>H322*I322</f>
        <v>2085.6</v>
      </c>
      <c r="M322" s="73" t="s">
        <v>1660</v>
      </c>
      <c r="N322" s="19"/>
      <c r="Z322" s="35">
        <f>IF(AQ322="5",BJ322,0)</f>
        <v>0</v>
      </c>
      <c r="AB322" s="35">
        <f>IF(AQ322="1",BH322,0)</f>
        <v>0</v>
      </c>
      <c r="AC322" s="35">
        <f>IF(AQ322="1",BI322,0)</f>
        <v>0</v>
      </c>
      <c r="AD322" s="35">
        <f>IF(AQ322="7",BH322,0)</f>
        <v>0</v>
      </c>
      <c r="AE322" s="35">
        <f>IF(AQ322="7",BI322,0)</f>
        <v>2085.6</v>
      </c>
      <c r="AF322" s="35">
        <f>IF(AQ322="2",BH322,0)</f>
        <v>0</v>
      </c>
      <c r="AG322" s="35">
        <f>IF(AQ322="2",BI322,0)</f>
        <v>0</v>
      </c>
      <c r="AH322" s="35">
        <f>IF(AQ322="0",BJ322,0)</f>
        <v>0</v>
      </c>
      <c r="AI322" s="77" t="s">
        <v>63</v>
      </c>
      <c r="AJ322" s="64">
        <f>IF(AN322=0,L322,0)</f>
        <v>0</v>
      </c>
      <c r="AK322" s="64">
        <f>IF(AN322=15,L322,0)</f>
        <v>0</v>
      </c>
      <c r="AL322" s="64">
        <f>IF(AN322=21,L322,0)</f>
        <v>2085.6</v>
      </c>
      <c r="AN322" s="35">
        <v>21</v>
      </c>
      <c r="AO322" s="35">
        <f>I322*0</f>
        <v>0</v>
      </c>
      <c r="AP322" s="35">
        <f>I322*(1-0)</f>
        <v>26.07</v>
      </c>
      <c r="AQ322" s="78" t="s">
        <v>235</v>
      </c>
      <c r="AV322" s="35">
        <f>AW322+AX322</f>
        <v>2085.6</v>
      </c>
      <c r="AW322" s="35">
        <f>H322*AO322</f>
        <v>0</v>
      </c>
      <c r="AX322" s="35">
        <f>H322*AP322</f>
        <v>2085.6</v>
      </c>
      <c r="AY322" s="80" t="s">
        <v>1696</v>
      </c>
      <c r="AZ322" s="80" t="s">
        <v>1740</v>
      </c>
      <c r="BA322" s="77" t="s">
        <v>1776</v>
      </c>
      <c r="BC322" s="35">
        <f>AW322+AX322</f>
        <v>2085.6</v>
      </c>
      <c r="BD322" s="35">
        <f>I322/(100-BE322)*100</f>
        <v>26.07</v>
      </c>
      <c r="BE322" s="35">
        <v>0</v>
      </c>
      <c r="BF322" s="35">
        <f>322</f>
        <v>322</v>
      </c>
      <c r="BH322" s="64">
        <f>H322*AO322</f>
        <v>0</v>
      </c>
      <c r="BI322" s="64">
        <f>H322*AP322</f>
        <v>2085.6</v>
      </c>
      <c r="BJ322" s="64">
        <f>H322*I322</f>
        <v>2085.6</v>
      </c>
      <c r="BK322" s="64" t="s">
        <v>1790</v>
      </c>
      <c r="BL322" s="35">
        <v>734</v>
      </c>
    </row>
    <row r="323" spans="1:64">
      <c r="A323" s="19"/>
      <c r="C323" s="59" t="s">
        <v>730</v>
      </c>
      <c r="D323" s="167" t="s">
        <v>1338</v>
      </c>
      <c r="E323" s="168"/>
      <c r="F323" s="168"/>
      <c r="G323" s="168"/>
      <c r="H323" s="168"/>
      <c r="I323" s="168"/>
      <c r="J323" s="168"/>
      <c r="K323" s="168"/>
      <c r="L323" s="168"/>
      <c r="M323" s="169"/>
      <c r="N323" s="19"/>
    </row>
    <row r="324" spans="1:64">
      <c r="A324" s="48" t="s">
        <v>413</v>
      </c>
      <c r="B324" s="56" t="s">
        <v>63</v>
      </c>
      <c r="C324" s="56" t="s">
        <v>915</v>
      </c>
      <c r="D324" s="170" t="s">
        <v>1339</v>
      </c>
      <c r="E324" s="171"/>
      <c r="F324" s="171"/>
      <c r="G324" s="56" t="s">
        <v>1641</v>
      </c>
      <c r="H324" s="65">
        <v>72</v>
      </c>
      <c r="I324" s="65">
        <v>352</v>
      </c>
      <c r="J324" s="65">
        <f>H324*AO324</f>
        <v>25344</v>
      </c>
      <c r="K324" s="65">
        <f>H324*AP324</f>
        <v>0</v>
      </c>
      <c r="L324" s="65">
        <f>H324*I324</f>
        <v>25344</v>
      </c>
      <c r="M324" s="74" t="s">
        <v>1660</v>
      </c>
      <c r="N324" s="19"/>
      <c r="Z324" s="35">
        <f>IF(AQ324="5",BJ324,0)</f>
        <v>0</v>
      </c>
      <c r="AB324" s="35">
        <f>IF(AQ324="1",BH324,0)</f>
        <v>0</v>
      </c>
      <c r="AC324" s="35">
        <f>IF(AQ324="1",BI324,0)</f>
        <v>0</v>
      </c>
      <c r="AD324" s="35">
        <f>IF(AQ324="7",BH324,0)</f>
        <v>25344</v>
      </c>
      <c r="AE324" s="35">
        <f>IF(AQ324="7",BI324,0)</f>
        <v>0</v>
      </c>
      <c r="AF324" s="35">
        <f>IF(AQ324="2",BH324,0)</f>
        <v>0</v>
      </c>
      <c r="AG324" s="35">
        <f>IF(AQ324="2",BI324,0)</f>
        <v>0</v>
      </c>
      <c r="AH324" s="35">
        <f>IF(AQ324="0",BJ324,0)</f>
        <v>0</v>
      </c>
      <c r="AI324" s="77" t="s">
        <v>63</v>
      </c>
      <c r="AJ324" s="65">
        <f>IF(AN324=0,L324,0)</f>
        <v>0</v>
      </c>
      <c r="AK324" s="65">
        <f>IF(AN324=15,L324,0)</f>
        <v>0</v>
      </c>
      <c r="AL324" s="65">
        <f>IF(AN324=21,L324,0)</f>
        <v>25344</v>
      </c>
      <c r="AN324" s="35">
        <v>21</v>
      </c>
      <c r="AO324" s="35">
        <f>I324*1</f>
        <v>352</v>
      </c>
      <c r="AP324" s="35">
        <f>I324*(1-1)</f>
        <v>0</v>
      </c>
      <c r="AQ324" s="79" t="s">
        <v>235</v>
      </c>
      <c r="AV324" s="35">
        <f>AW324+AX324</f>
        <v>25344</v>
      </c>
      <c r="AW324" s="35">
        <f>H324*AO324</f>
        <v>25344</v>
      </c>
      <c r="AX324" s="35">
        <f>H324*AP324</f>
        <v>0</v>
      </c>
      <c r="AY324" s="80" t="s">
        <v>1696</v>
      </c>
      <c r="AZ324" s="80" t="s">
        <v>1740</v>
      </c>
      <c r="BA324" s="77" t="s">
        <v>1776</v>
      </c>
      <c r="BC324" s="35">
        <f>AW324+AX324</f>
        <v>25344</v>
      </c>
      <c r="BD324" s="35">
        <f>I324/(100-BE324)*100</f>
        <v>352</v>
      </c>
      <c r="BE324" s="35">
        <v>0</v>
      </c>
      <c r="BF324" s="35">
        <f>324</f>
        <v>324</v>
      </c>
      <c r="BH324" s="65">
        <f>H324*AO324</f>
        <v>25344</v>
      </c>
      <c r="BI324" s="65">
        <f>H324*AP324</f>
        <v>0</v>
      </c>
      <c r="BJ324" s="65">
        <f>H324*I324</f>
        <v>25344</v>
      </c>
      <c r="BK324" s="65" t="s">
        <v>1642</v>
      </c>
      <c r="BL324" s="35">
        <v>734</v>
      </c>
    </row>
    <row r="325" spans="1:64" ht="25.7" customHeight="1">
      <c r="A325" s="19"/>
      <c r="C325" s="59" t="s">
        <v>730</v>
      </c>
      <c r="D325" s="167" t="s">
        <v>1340</v>
      </c>
      <c r="E325" s="168"/>
      <c r="F325" s="168"/>
      <c r="G325" s="168"/>
      <c r="H325" s="168"/>
      <c r="I325" s="168"/>
      <c r="J325" s="168"/>
      <c r="K325" s="168"/>
      <c r="L325" s="168"/>
      <c r="M325" s="169"/>
      <c r="N325" s="19"/>
    </row>
    <row r="326" spans="1:64">
      <c r="A326" s="48" t="s">
        <v>414</v>
      </c>
      <c r="B326" s="56" t="s">
        <v>63</v>
      </c>
      <c r="C326" s="56" t="s">
        <v>916</v>
      </c>
      <c r="D326" s="170" t="s">
        <v>1341</v>
      </c>
      <c r="E326" s="171"/>
      <c r="F326" s="171"/>
      <c r="G326" s="56" t="s">
        <v>1641</v>
      </c>
      <c r="H326" s="65">
        <v>7</v>
      </c>
      <c r="I326" s="65">
        <v>2168.1</v>
      </c>
      <c r="J326" s="65">
        <f>H326*AO326</f>
        <v>15176.699999999999</v>
      </c>
      <c r="K326" s="65">
        <f>H326*AP326</f>
        <v>0</v>
      </c>
      <c r="L326" s="65">
        <f>H326*I326</f>
        <v>15176.699999999999</v>
      </c>
      <c r="M326" s="74"/>
      <c r="N326" s="19"/>
      <c r="Z326" s="35">
        <f>IF(AQ326="5",BJ326,0)</f>
        <v>0</v>
      </c>
      <c r="AB326" s="35">
        <f>IF(AQ326="1",BH326,0)</f>
        <v>0</v>
      </c>
      <c r="AC326" s="35">
        <f>IF(AQ326="1",BI326,0)</f>
        <v>0</v>
      </c>
      <c r="AD326" s="35">
        <f>IF(AQ326="7",BH326,0)</f>
        <v>15176.699999999999</v>
      </c>
      <c r="AE326" s="35">
        <f>IF(AQ326="7",BI326,0)</f>
        <v>0</v>
      </c>
      <c r="AF326" s="35">
        <f>IF(AQ326="2",BH326,0)</f>
        <v>0</v>
      </c>
      <c r="AG326" s="35">
        <f>IF(AQ326="2",BI326,0)</f>
        <v>0</v>
      </c>
      <c r="AH326" s="35">
        <f>IF(AQ326="0",BJ326,0)</f>
        <v>0</v>
      </c>
      <c r="AI326" s="77" t="s">
        <v>63</v>
      </c>
      <c r="AJ326" s="65">
        <f>IF(AN326=0,L326,0)</f>
        <v>0</v>
      </c>
      <c r="AK326" s="65">
        <f>IF(AN326=15,L326,0)</f>
        <v>0</v>
      </c>
      <c r="AL326" s="65">
        <f>IF(AN326=21,L326,0)</f>
        <v>15176.699999999999</v>
      </c>
      <c r="AN326" s="35">
        <v>21</v>
      </c>
      <c r="AO326" s="35">
        <f>I326*1</f>
        <v>2168.1</v>
      </c>
      <c r="AP326" s="35">
        <f>I326*(1-1)</f>
        <v>0</v>
      </c>
      <c r="AQ326" s="79" t="s">
        <v>235</v>
      </c>
      <c r="AV326" s="35">
        <f>AW326+AX326</f>
        <v>15176.699999999999</v>
      </c>
      <c r="AW326" s="35">
        <f>H326*AO326</f>
        <v>15176.699999999999</v>
      </c>
      <c r="AX326" s="35">
        <f>H326*AP326</f>
        <v>0</v>
      </c>
      <c r="AY326" s="80" t="s">
        <v>1696</v>
      </c>
      <c r="AZ326" s="80" t="s">
        <v>1740</v>
      </c>
      <c r="BA326" s="77" t="s">
        <v>1776</v>
      </c>
      <c r="BC326" s="35">
        <f>AW326+AX326</f>
        <v>15176.699999999999</v>
      </c>
      <c r="BD326" s="35">
        <f>I326/(100-BE326)*100</f>
        <v>2168.1</v>
      </c>
      <c r="BE326" s="35">
        <v>0</v>
      </c>
      <c r="BF326" s="35">
        <f>326</f>
        <v>326</v>
      </c>
      <c r="BH326" s="65">
        <f>H326*AO326</f>
        <v>15176.699999999999</v>
      </c>
      <c r="BI326" s="65">
        <f>H326*AP326</f>
        <v>0</v>
      </c>
      <c r="BJ326" s="65">
        <f>H326*I326</f>
        <v>15176.699999999999</v>
      </c>
      <c r="BK326" s="65" t="s">
        <v>1642</v>
      </c>
      <c r="BL326" s="35">
        <v>734</v>
      </c>
    </row>
    <row r="327" spans="1:64" ht="38.450000000000003" customHeight="1">
      <c r="A327" s="19"/>
      <c r="C327" s="59" t="s">
        <v>730</v>
      </c>
      <c r="D327" s="167" t="s">
        <v>1342</v>
      </c>
      <c r="E327" s="168"/>
      <c r="F327" s="168"/>
      <c r="G327" s="168"/>
      <c r="H327" s="168"/>
      <c r="I327" s="168"/>
      <c r="J327" s="168"/>
      <c r="K327" s="168"/>
      <c r="L327" s="168"/>
      <c r="M327" s="169"/>
      <c r="N327" s="19"/>
    </row>
    <row r="328" spans="1:64">
      <c r="A328" s="48" t="s">
        <v>415</v>
      </c>
      <c r="B328" s="56" t="s">
        <v>63</v>
      </c>
      <c r="C328" s="56" t="s">
        <v>917</v>
      </c>
      <c r="D328" s="170" t="s">
        <v>1343</v>
      </c>
      <c r="E328" s="171"/>
      <c r="F328" s="171"/>
      <c r="G328" s="56" t="s">
        <v>1641</v>
      </c>
      <c r="H328" s="65">
        <v>1</v>
      </c>
      <c r="I328" s="65">
        <v>2308.9</v>
      </c>
      <c r="J328" s="65">
        <f>H328*AO328</f>
        <v>2308.9</v>
      </c>
      <c r="K328" s="65">
        <f>H328*AP328</f>
        <v>0</v>
      </c>
      <c r="L328" s="65">
        <f>H328*I328</f>
        <v>2308.9</v>
      </c>
      <c r="M328" s="74"/>
      <c r="N328" s="19"/>
      <c r="Z328" s="35">
        <f>IF(AQ328="5",BJ328,0)</f>
        <v>0</v>
      </c>
      <c r="AB328" s="35">
        <f>IF(AQ328="1",BH328,0)</f>
        <v>0</v>
      </c>
      <c r="AC328" s="35">
        <f>IF(AQ328="1",BI328,0)</f>
        <v>0</v>
      </c>
      <c r="AD328" s="35">
        <f>IF(AQ328="7",BH328,0)</f>
        <v>2308.9</v>
      </c>
      <c r="AE328" s="35">
        <f>IF(AQ328="7",BI328,0)</f>
        <v>0</v>
      </c>
      <c r="AF328" s="35">
        <f>IF(AQ328="2",BH328,0)</f>
        <v>0</v>
      </c>
      <c r="AG328" s="35">
        <f>IF(AQ328="2",BI328,0)</f>
        <v>0</v>
      </c>
      <c r="AH328" s="35">
        <f>IF(AQ328="0",BJ328,0)</f>
        <v>0</v>
      </c>
      <c r="AI328" s="77" t="s">
        <v>63</v>
      </c>
      <c r="AJ328" s="65">
        <f>IF(AN328=0,L328,0)</f>
        <v>0</v>
      </c>
      <c r="AK328" s="65">
        <f>IF(AN328=15,L328,0)</f>
        <v>0</v>
      </c>
      <c r="AL328" s="65">
        <f>IF(AN328=21,L328,0)</f>
        <v>2308.9</v>
      </c>
      <c r="AN328" s="35">
        <v>21</v>
      </c>
      <c r="AO328" s="35">
        <f>I328*1</f>
        <v>2308.9</v>
      </c>
      <c r="AP328" s="35">
        <f>I328*(1-1)</f>
        <v>0</v>
      </c>
      <c r="AQ328" s="79" t="s">
        <v>235</v>
      </c>
      <c r="AV328" s="35">
        <f>AW328+AX328</f>
        <v>2308.9</v>
      </c>
      <c r="AW328" s="35">
        <f>H328*AO328</f>
        <v>2308.9</v>
      </c>
      <c r="AX328" s="35">
        <f>H328*AP328</f>
        <v>0</v>
      </c>
      <c r="AY328" s="80" t="s">
        <v>1696</v>
      </c>
      <c r="AZ328" s="80" t="s">
        <v>1740</v>
      </c>
      <c r="BA328" s="77" t="s">
        <v>1776</v>
      </c>
      <c r="BC328" s="35">
        <f>AW328+AX328</f>
        <v>2308.9</v>
      </c>
      <c r="BD328" s="35">
        <f>I328/(100-BE328)*100</f>
        <v>2308.9</v>
      </c>
      <c r="BE328" s="35">
        <v>0</v>
      </c>
      <c r="BF328" s="35">
        <f>328</f>
        <v>328</v>
      </c>
      <c r="BH328" s="65">
        <f>H328*AO328</f>
        <v>2308.9</v>
      </c>
      <c r="BI328" s="65">
        <f>H328*AP328</f>
        <v>0</v>
      </c>
      <c r="BJ328" s="65">
        <f>H328*I328</f>
        <v>2308.9</v>
      </c>
      <c r="BK328" s="65" t="s">
        <v>1642</v>
      </c>
      <c r="BL328" s="35">
        <v>734</v>
      </c>
    </row>
    <row r="329" spans="1:64" ht="38.450000000000003" customHeight="1">
      <c r="A329" s="19"/>
      <c r="C329" s="59" t="s">
        <v>730</v>
      </c>
      <c r="D329" s="167" t="s">
        <v>1344</v>
      </c>
      <c r="E329" s="168"/>
      <c r="F329" s="168"/>
      <c r="G329" s="168"/>
      <c r="H329" s="168"/>
      <c r="I329" s="168"/>
      <c r="J329" s="168"/>
      <c r="K329" s="168"/>
      <c r="L329" s="168"/>
      <c r="M329" s="169"/>
      <c r="N329" s="19"/>
    </row>
    <row r="330" spans="1:64">
      <c r="A330" s="47" t="s">
        <v>416</v>
      </c>
      <c r="B330" s="55" t="s">
        <v>63</v>
      </c>
      <c r="C330" s="55" t="s">
        <v>918</v>
      </c>
      <c r="D330" s="165" t="s">
        <v>1345</v>
      </c>
      <c r="E330" s="166"/>
      <c r="F330" s="166"/>
      <c r="G330" s="55" t="s">
        <v>1641</v>
      </c>
      <c r="H330" s="64">
        <v>36</v>
      </c>
      <c r="I330" s="64">
        <v>71.5</v>
      </c>
      <c r="J330" s="64">
        <f>H330*AO330</f>
        <v>0</v>
      </c>
      <c r="K330" s="64">
        <f>H330*AP330</f>
        <v>2574</v>
      </c>
      <c r="L330" s="64">
        <f>H330*I330</f>
        <v>2574</v>
      </c>
      <c r="M330" s="73" t="s">
        <v>1660</v>
      </c>
      <c r="N330" s="19"/>
      <c r="Z330" s="35">
        <f>IF(AQ330="5",BJ330,0)</f>
        <v>0</v>
      </c>
      <c r="AB330" s="35">
        <f>IF(AQ330="1",BH330,0)</f>
        <v>0</v>
      </c>
      <c r="AC330" s="35">
        <f>IF(AQ330="1",BI330,0)</f>
        <v>0</v>
      </c>
      <c r="AD330" s="35">
        <f>IF(AQ330="7",BH330,0)</f>
        <v>0</v>
      </c>
      <c r="AE330" s="35">
        <f>IF(AQ330="7",BI330,0)</f>
        <v>2574</v>
      </c>
      <c r="AF330" s="35">
        <f>IF(AQ330="2",BH330,0)</f>
        <v>0</v>
      </c>
      <c r="AG330" s="35">
        <f>IF(AQ330="2",BI330,0)</f>
        <v>0</v>
      </c>
      <c r="AH330" s="35">
        <f>IF(AQ330="0",BJ330,0)</f>
        <v>0</v>
      </c>
      <c r="AI330" s="77" t="s">
        <v>63</v>
      </c>
      <c r="AJ330" s="64">
        <f>IF(AN330=0,L330,0)</f>
        <v>0</v>
      </c>
      <c r="AK330" s="64">
        <f>IF(AN330=15,L330,0)</f>
        <v>0</v>
      </c>
      <c r="AL330" s="64">
        <f>IF(AN330=21,L330,0)</f>
        <v>2574</v>
      </c>
      <c r="AN330" s="35">
        <v>21</v>
      </c>
      <c r="AO330" s="35">
        <f>I330*0</f>
        <v>0</v>
      </c>
      <c r="AP330" s="35">
        <f>I330*(1-0)</f>
        <v>71.5</v>
      </c>
      <c r="AQ330" s="78" t="s">
        <v>235</v>
      </c>
      <c r="AV330" s="35">
        <f>AW330+AX330</f>
        <v>2574</v>
      </c>
      <c r="AW330" s="35">
        <f>H330*AO330</f>
        <v>0</v>
      </c>
      <c r="AX330" s="35">
        <f>H330*AP330</f>
        <v>2574</v>
      </c>
      <c r="AY330" s="80" t="s">
        <v>1696</v>
      </c>
      <c r="AZ330" s="80" t="s">
        <v>1740</v>
      </c>
      <c r="BA330" s="77" t="s">
        <v>1776</v>
      </c>
      <c r="BC330" s="35">
        <f>AW330+AX330</f>
        <v>2574</v>
      </c>
      <c r="BD330" s="35">
        <f>I330/(100-BE330)*100</f>
        <v>71.5</v>
      </c>
      <c r="BE330" s="35">
        <v>0</v>
      </c>
      <c r="BF330" s="35">
        <f>330</f>
        <v>330</v>
      </c>
      <c r="BH330" s="64">
        <f>H330*AO330</f>
        <v>0</v>
      </c>
      <c r="BI330" s="64">
        <f>H330*AP330</f>
        <v>2574</v>
      </c>
      <c r="BJ330" s="64">
        <f>H330*I330</f>
        <v>2574</v>
      </c>
      <c r="BK330" s="64" t="s">
        <v>1790</v>
      </c>
      <c r="BL330" s="35">
        <v>734</v>
      </c>
    </row>
    <row r="331" spans="1:64">
      <c r="A331" s="19"/>
      <c r="C331" s="59" t="s">
        <v>730</v>
      </c>
      <c r="D331" s="167" t="s">
        <v>1346</v>
      </c>
      <c r="E331" s="168"/>
      <c r="F331" s="168"/>
      <c r="G331" s="168"/>
      <c r="H331" s="168"/>
      <c r="I331" s="168"/>
      <c r="J331" s="168"/>
      <c r="K331" s="168"/>
      <c r="L331" s="168"/>
      <c r="M331" s="169"/>
      <c r="N331" s="19"/>
    </row>
    <row r="332" spans="1:64">
      <c r="A332" s="48" t="s">
        <v>417</v>
      </c>
      <c r="B332" s="56" t="s">
        <v>63</v>
      </c>
      <c r="C332" s="56" t="s">
        <v>919</v>
      </c>
      <c r="D332" s="170" t="s">
        <v>1347</v>
      </c>
      <c r="E332" s="171"/>
      <c r="F332" s="171"/>
      <c r="G332" s="56" t="s">
        <v>1641</v>
      </c>
      <c r="H332" s="65">
        <v>35</v>
      </c>
      <c r="I332" s="65">
        <v>754.6</v>
      </c>
      <c r="J332" s="65">
        <f>H332*AO332</f>
        <v>26411</v>
      </c>
      <c r="K332" s="65">
        <f>H332*AP332</f>
        <v>0</v>
      </c>
      <c r="L332" s="65">
        <f>H332*I332</f>
        <v>26411</v>
      </c>
      <c r="M332" s="74"/>
      <c r="N332" s="19"/>
      <c r="Z332" s="35">
        <f>IF(AQ332="5",BJ332,0)</f>
        <v>0</v>
      </c>
      <c r="AB332" s="35">
        <f>IF(AQ332="1",BH332,0)</f>
        <v>0</v>
      </c>
      <c r="AC332" s="35">
        <f>IF(AQ332="1",BI332,0)</f>
        <v>0</v>
      </c>
      <c r="AD332" s="35">
        <f>IF(AQ332="7",BH332,0)</f>
        <v>26411</v>
      </c>
      <c r="AE332" s="35">
        <f>IF(AQ332="7",BI332,0)</f>
        <v>0</v>
      </c>
      <c r="AF332" s="35">
        <f>IF(AQ332="2",BH332,0)</f>
        <v>0</v>
      </c>
      <c r="AG332" s="35">
        <f>IF(AQ332="2",BI332,0)</f>
        <v>0</v>
      </c>
      <c r="AH332" s="35">
        <f>IF(AQ332="0",BJ332,0)</f>
        <v>0</v>
      </c>
      <c r="AI332" s="77" t="s">
        <v>63</v>
      </c>
      <c r="AJ332" s="65">
        <f>IF(AN332=0,L332,0)</f>
        <v>0</v>
      </c>
      <c r="AK332" s="65">
        <f>IF(AN332=15,L332,0)</f>
        <v>0</v>
      </c>
      <c r="AL332" s="65">
        <f>IF(AN332=21,L332,0)</f>
        <v>26411</v>
      </c>
      <c r="AN332" s="35">
        <v>21</v>
      </c>
      <c r="AO332" s="35">
        <f>I332*1</f>
        <v>754.6</v>
      </c>
      <c r="AP332" s="35">
        <f>I332*(1-1)</f>
        <v>0</v>
      </c>
      <c r="AQ332" s="79" t="s">
        <v>235</v>
      </c>
      <c r="AV332" s="35">
        <f>AW332+AX332</f>
        <v>26411</v>
      </c>
      <c r="AW332" s="35">
        <f>H332*AO332</f>
        <v>26411</v>
      </c>
      <c r="AX332" s="35">
        <f>H332*AP332</f>
        <v>0</v>
      </c>
      <c r="AY332" s="80" t="s">
        <v>1696</v>
      </c>
      <c r="AZ332" s="80" t="s">
        <v>1740</v>
      </c>
      <c r="BA332" s="77" t="s">
        <v>1776</v>
      </c>
      <c r="BC332" s="35">
        <f>AW332+AX332</f>
        <v>26411</v>
      </c>
      <c r="BD332" s="35">
        <f>I332/(100-BE332)*100</f>
        <v>754.6</v>
      </c>
      <c r="BE332" s="35">
        <v>0</v>
      </c>
      <c r="BF332" s="35">
        <f>332</f>
        <v>332</v>
      </c>
      <c r="BH332" s="65">
        <f>H332*AO332</f>
        <v>26411</v>
      </c>
      <c r="BI332" s="65">
        <f>H332*AP332</f>
        <v>0</v>
      </c>
      <c r="BJ332" s="65">
        <f>H332*I332</f>
        <v>26411</v>
      </c>
      <c r="BK332" s="65" t="s">
        <v>1642</v>
      </c>
      <c r="BL332" s="35">
        <v>734</v>
      </c>
    </row>
    <row r="333" spans="1:64" ht="38.450000000000003" customHeight="1">
      <c r="A333" s="19"/>
      <c r="C333" s="59" t="s">
        <v>730</v>
      </c>
      <c r="D333" s="167" t="s">
        <v>1348</v>
      </c>
      <c r="E333" s="168"/>
      <c r="F333" s="168"/>
      <c r="G333" s="168"/>
      <c r="H333" s="168"/>
      <c r="I333" s="168"/>
      <c r="J333" s="168"/>
      <c r="K333" s="168"/>
      <c r="L333" s="168"/>
      <c r="M333" s="169"/>
      <c r="N333" s="19"/>
    </row>
    <row r="334" spans="1:64">
      <c r="A334" s="48" t="s">
        <v>418</v>
      </c>
      <c r="B334" s="56" t="s">
        <v>63</v>
      </c>
      <c r="C334" s="56" t="s">
        <v>920</v>
      </c>
      <c r="D334" s="170" t="s">
        <v>1349</v>
      </c>
      <c r="E334" s="171"/>
      <c r="F334" s="171"/>
      <c r="G334" s="56" t="s">
        <v>1641</v>
      </c>
      <c r="H334" s="65">
        <v>1</v>
      </c>
      <c r="I334" s="65">
        <v>754.6</v>
      </c>
      <c r="J334" s="65">
        <f>H334*AO334</f>
        <v>754.6</v>
      </c>
      <c r="K334" s="65">
        <f>H334*AP334</f>
        <v>0</v>
      </c>
      <c r="L334" s="65">
        <f>H334*I334</f>
        <v>754.6</v>
      </c>
      <c r="M334" s="74"/>
      <c r="N334" s="19"/>
      <c r="Z334" s="35">
        <f>IF(AQ334="5",BJ334,0)</f>
        <v>0</v>
      </c>
      <c r="AB334" s="35">
        <f>IF(AQ334="1",BH334,0)</f>
        <v>0</v>
      </c>
      <c r="AC334" s="35">
        <f>IF(AQ334="1",BI334,0)</f>
        <v>0</v>
      </c>
      <c r="AD334" s="35">
        <f>IF(AQ334="7",BH334,0)</f>
        <v>754.6</v>
      </c>
      <c r="AE334" s="35">
        <f>IF(AQ334="7",BI334,0)</f>
        <v>0</v>
      </c>
      <c r="AF334" s="35">
        <f>IF(AQ334="2",BH334,0)</f>
        <v>0</v>
      </c>
      <c r="AG334" s="35">
        <f>IF(AQ334="2",BI334,0)</f>
        <v>0</v>
      </c>
      <c r="AH334" s="35">
        <f>IF(AQ334="0",BJ334,0)</f>
        <v>0</v>
      </c>
      <c r="AI334" s="77" t="s">
        <v>63</v>
      </c>
      <c r="AJ334" s="65">
        <f>IF(AN334=0,L334,0)</f>
        <v>0</v>
      </c>
      <c r="AK334" s="65">
        <f>IF(AN334=15,L334,0)</f>
        <v>0</v>
      </c>
      <c r="AL334" s="65">
        <f>IF(AN334=21,L334,0)</f>
        <v>754.6</v>
      </c>
      <c r="AN334" s="35">
        <v>21</v>
      </c>
      <c r="AO334" s="35">
        <f>I334*1</f>
        <v>754.6</v>
      </c>
      <c r="AP334" s="35">
        <f>I334*(1-1)</f>
        <v>0</v>
      </c>
      <c r="AQ334" s="79" t="s">
        <v>235</v>
      </c>
      <c r="AV334" s="35">
        <f>AW334+AX334</f>
        <v>754.6</v>
      </c>
      <c r="AW334" s="35">
        <f>H334*AO334</f>
        <v>754.6</v>
      </c>
      <c r="AX334" s="35">
        <f>H334*AP334</f>
        <v>0</v>
      </c>
      <c r="AY334" s="80" t="s">
        <v>1696</v>
      </c>
      <c r="AZ334" s="80" t="s">
        <v>1740</v>
      </c>
      <c r="BA334" s="77" t="s">
        <v>1776</v>
      </c>
      <c r="BC334" s="35">
        <f>AW334+AX334</f>
        <v>754.6</v>
      </c>
      <c r="BD334" s="35">
        <f>I334/(100-BE334)*100</f>
        <v>754.6</v>
      </c>
      <c r="BE334" s="35">
        <v>0</v>
      </c>
      <c r="BF334" s="35">
        <f>334</f>
        <v>334</v>
      </c>
      <c r="BH334" s="65">
        <f>H334*AO334</f>
        <v>754.6</v>
      </c>
      <c r="BI334" s="65">
        <f>H334*AP334</f>
        <v>0</v>
      </c>
      <c r="BJ334" s="65">
        <f>H334*I334</f>
        <v>754.6</v>
      </c>
      <c r="BK334" s="65" t="s">
        <v>1642</v>
      </c>
      <c r="BL334" s="35">
        <v>734</v>
      </c>
    </row>
    <row r="335" spans="1:64" ht="38.450000000000003" customHeight="1">
      <c r="A335" s="19"/>
      <c r="C335" s="59" t="s">
        <v>730</v>
      </c>
      <c r="D335" s="167" t="s">
        <v>1350</v>
      </c>
      <c r="E335" s="168"/>
      <c r="F335" s="168"/>
      <c r="G335" s="168"/>
      <c r="H335" s="168"/>
      <c r="I335" s="168"/>
      <c r="J335" s="168"/>
      <c r="K335" s="168"/>
      <c r="L335" s="168"/>
      <c r="M335" s="169"/>
      <c r="N335" s="19"/>
    </row>
    <row r="336" spans="1:64">
      <c r="A336" s="47" t="s">
        <v>419</v>
      </c>
      <c r="B336" s="55" t="s">
        <v>63</v>
      </c>
      <c r="C336" s="55" t="s">
        <v>921</v>
      </c>
      <c r="D336" s="165" t="s">
        <v>1351</v>
      </c>
      <c r="E336" s="166"/>
      <c r="F336" s="166"/>
      <c r="G336" s="55" t="s">
        <v>1641</v>
      </c>
      <c r="H336" s="64">
        <v>44</v>
      </c>
      <c r="I336" s="64">
        <v>71.5</v>
      </c>
      <c r="J336" s="64">
        <f>H336*AO336</f>
        <v>0</v>
      </c>
      <c r="K336" s="64">
        <f>H336*AP336</f>
        <v>3146</v>
      </c>
      <c r="L336" s="64">
        <f>H336*I336</f>
        <v>3146</v>
      </c>
      <c r="M336" s="73" t="s">
        <v>1660</v>
      </c>
      <c r="N336" s="19"/>
      <c r="Z336" s="35">
        <f>IF(AQ336="5",BJ336,0)</f>
        <v>0</v>
      </c>
      <c r="AB336" s="35">
        <f>IF(AQ336="1",BH336,0)</f>
        <v>0</v>
      </c>
      <c r="AC336" s="35">
        <f>IF(AQ336="1",BI336,0)</f>
        <v>0</v>
      </c>
      <c r="AD336" s="35">
        <f>IF(AQ336="7",BH336,0)</f>
        <v>0</v>
      </c>
      <c r="AE336" s="35">
        <f>IF(AQ336="7",BI336,0)</f>
        <v>3146</v>
      </c>
      <c r="AF336" s="35">
        <f>IF(AQ336="2",BH336,0)</f>
        <v>0</v>
      </c>
      <c r="AG336" s="35">
        <f>IF(AQ336="2",BI336,0)</f>
        <v>0</v>
      </c>
      <c r="AH336" s="35">
        <f>IF(AQ336="0",BJ336,0)</f>
        <v>0</v>
      </c>
      <c r="AI336" s="77" t="s">
        <v>63</v>
      </c>
      <c r="AJ336" s="64">
        <f>IF(AN336=0,L336,0)</f>
        <v>0</v>
      </c>
      <c r="AK336" s="64">
        <f>IF(AN336=15,L336,0)</f>
        <v>0</v>
      </c>
      <c r="AL336" s="64">
        <f>IF(AN336=21,L336,0)</f>
        <v>3146</v>
      </c>
      <c r="AN336" s="35">
        <v>21</v>
      </c>
      <c r="AO336" s="35">
        <f>I336*0</f>
        <v>0</v>
      </c>
      <c r="AP336" s="35">
        <f>I336*(1-0)</f>
        <v>71.5</v>
      </c>
      <c r="AQ336" s="78" t="s">
        <v>235</v>
      </c>
      <c r="AV336" s="35">
        <f>AW336+AX336</f>
        <v>3146</v>
      </c>
      <c r="AW336" s="35">
        <f>H336*AO336</f>
        <v>0</v>
      </c>
      <c r="AX336" s="35">
        <f>H336*AP336</f>
        <v>3146</v>
      </c>
      <c r="AY336" s="80" t="s">
        <v>1696</v>
      </c>
      <c r="AZ336" s="80" t="s">
        <v>1740</v>
      </c>
      <c r="BA336" s="77" t="s">
        <v>1776</v>
      </c>
      <c r="BC336" s="35">
        <f>AW336+AX336</f>
        <v>3146</v>
      </c>
      <c r="BD336" s="35">
        <f>I336/(100-BE336)*100</f>
        <v>71.5</v>
      </c>
      <c r="BE336" s="35">
        <v>0</v>
      </c>
      <c r="BF336" s="35">
        <f>336</f>
        <v>336</v>
      </c>
      <c r="BH336" s="64">
        <f>H336*AO336</f>
        <v>0</v>
      </c>
      <c r="BI336" s="64">
        <f>H336*AP336</f>
        <v>3146</v>
      </c>
      <c r="BJ336" s="64">
        <f>H336*I336</f>
        <v>3146</v>
      </c>
      <c r="BK336" s="64" t="s">
        <v>1790</v>
      </c>
      <c r="BL336" s="35">
        <v>734</v>
      </c>
    </row>
    <row r="337" spans="1:64">
      <c r="A337" s="19"/>
      <c r="C337" s="59" t="s">
        <v>730</v>
      </c>
      <c r="D337" s="167" t="s">
        <v>1352</v>
      </c>
      <c r="E337" s="168"/>
      <c r="F337" s="168"/>
      <c r="G337" s="168"/>
      <c r="H337" s="168"/>
      <c r="I337" s="168"/>
      <c r="J337" s="168"/>
      <c r="K337" s="168"/>
      <c r="L337" s="168"/>
      <c r="M337" s="169"/>
      <c r="N337" s="19"/>
    </row>
    <row r="338" spans="1:64">
      <c r="A338" s="48" t="s">
        <v>420</v>
      </c>
      <c r="B338" s="56" t="s">
        <v>63</v>
      </c>
      <c r="C338" s="56" t="s">
        <v>922</v>
      </c>
      <c r="D338" s="170" t="s">
        <v>1353</v>
      </c>
      <c r="E338" s="171"/>
      <c r="F338" s="171"/>
      <c r="G338" s="56" t="s">
        <v>1641</v>
      </c>
      <c r="H338" s="65">
        <v>44</v>
      </c>
      <c r="I338" s="65">
        <v>754.6</v>
      </c>
      <c r="J338" s="65">
        <f>H338*AO338</f>
        <v>33202.400000000001</v>
      </c>
      <c r="K338" s="65">
        <f>H338*AP338</f>
        <v>0</v>
      </c>
      <c r="L338" s="65">
        <f>H338*I338</f>
        <v>33202.400000000001</v>
      </c>
      <c r="M338" s="74"/>
      <c r="N338" s="19"/>
      <c r="Z338" s="35">
        <f>IF(AQ338="5",BJ338,0)</f>
        <v>0</v>
      </c>
      <c r="AB338" s="35">
        <f>IF(AQ338="1",BH338,0)</f>
        <v>0</v>
      </c>
      <c r="AC338" s="35">
        <f>IF(AQ338="1",BI338,0)</f>
        <v>0</v>
      </c>
      <c r="AD338" s="35">
        <f>IF(AQ338="7",BH338,0)</f>
        <v>33202.400000000001</v>
      </c>
      <c r="AE338" s="35">
        <f>IF(AQ338="7",BI338,0)</f>
        <v>0</v>
      </c>
      <c r="AF338" s="35">
        <f>IF(AQ338="2",BH338,0)</f>
        <v>0</v>
      </c>
      <c r="AG338" s="35">
        <f>IF(AQ338="2",BI338,0)</f>
        <v>0</v>
      </c>
      <c r="AH338" s="35">
        <f>IF(AQ338="0",BJ338,0)</f>
        <v>0</v>
      </c>
      <c r="AI338" s="77" t="s">
        <v>63</v>
      </c>
      <c r="AJ338" s="65">
        <f>IF(AN338=0,L338,0)</f>
        <v>0</v>
      </c>
      <c r="AK338" s="65">
        <f>IF(AN338=15,L338,0)</f>
        <v>0</v>
      </c>
      <c r="AL338" s="65">
        <f>IF(AN338=21,L338,0)</f>
        <v>33202.400000000001</v>
      </c>
      <c r="AN338" s="35">
        <v>21</v>
      </c>
      <c r="AO338" s="35">
        <f>I338*1</f>
        <v>754.6</v>
      </c>
      <c r="AP338" s="35">
        <f>I338*(1-1)</f>
        <v>0</v>
      </c>
      <c r="AQ338" s="79" t="s">
        <v>235</v>
      </c>
      <c r="AV338" s="35">
        <f>AW338+AX338</f>
        <v>33202.400000000001</v>
      </c>
      <c r="AW338" s="35">
        <f>H338*AO338</f>
        <v>33202.400000000001</v>
      </c>
      <c r="AX338" s="35">
        <f>H338*AP338</f>
        <v>0</v>
      </c>
      <c r="AY338" s="80" t="s">
        <v>1696</v>
      </c>
      <c r="AZ338" s="80" t="s">
        <v>1740</v>
      </c>
      <c r="BA338" s="77" t="s">
        <v>1776</v>
      </c>
      <c r="BC338" s="35">
        <f>AW338+AX338</f>
        <v>33202.400000000001</v>
      </c>
      <c r="BD338" s="35">
        <f>I338/(100-BE338)*100</f>
        <v>754.6</v>
      </c>
      <c r="BE338" s="35">
        <v>0</v>
      </c>
      <c r="BF338" s="35">
        <f>338</f>
        <v>338</v>
      </c>
      <c r="BH338" s="65">
        <f>H338*AO338</f>
        <v>33202.400000000001</v>
      </c>
      <c r="BI338" s="65">
        <f>H338*AP338</f>
        <v>0</v>
      </c>
      <c r="BJ338" s="65">
        <f>H338*I338</f>
        <v>33202.400000000001</v>
      </c>
      <c r="BK338" s="65" t="s">
        <v>1642</v>
      </c>
      <c r="BL338" s="35">
        <v>734</v>
      </c>
    </row>
    <row r="339" spans="1:64" ht="38.450000000000003" customHeight="1">
      <c r="A339" s="19"/>
      <c r="C339" s="59" t="s">
        <v>730</v>
      </c>
      <c r="D339" s="167" t="s">
        <v>1354</v>
      </c>
      <c r="E339" s="168"/>
      <c r="F339" s="168"/>
      <c r="G339" s="168"/>
      <c r="H339" s="168"/>
      <c r="I339" s="168"/>
      <c r="J339" s="168"/>
      <c r="K339" s="168"/>
      <c r="L339" s="168"/>
      <c r="M339" s="169"/>
      <c r="N339" s="19"/>
    </row>
    <row r="340" spans="1:64">
      <c r="A340" s="47" t="s">
        <v>421</v>
      </c>
      <c r="B340" s="55" t="s">
        <v>63</v>
      </c>
      <c r="C340" s="55" t="s">
        <v>923</v>
      </c>
      <c r="D340" s="165" t="s">
        <v>1355</v>
      </c>
      <c r="E340" s="166"/>
      <c r="F340" s="166"/>
      <c r="G340" s="55" t="s">
        <v>1641</v>
      </c>
      <c r="H340" s="64">
        <v>80</v>
      </c>
      <c r="I340" s="64">
        <v>83.93</v>
      </c>
      <c r="J340" s="64">
        <f>H340*AO340</f>
        <v>0</v>
      </c>
      <c r="K340" s="64">
        <f>H340*AP340</f>
        <v>6714.4000000000005</v>
      </c>
      <c r="L340" s="64">
        <f>H340*I340</f>
        <v>6714.4000000000005</v>
      </c>
      <c r="M340" s="73"/>
      <c r="N340" s="19"/>
      <c r="Z340" s="35">
        <f>IF(AQ340="5",BJ340,0)</f>
        <v>0</v>
      </c>
      <c r="AB340" s="35">
        <f>IF(AQ340="1",BH340,0)</f>
        <v>0</v>
      </c>
      <c r="AC340" s="35">
        <f>IF(AQ340="1",BI340,0)</f>
        <v>0</v>
      </c>
      <c r="AD340" s="35">
        <f>IF(AQ340="7",BH340,0)</f>
        <v>0</v>
      </c>
      <c r="AE340" s="35">
        <f>IF(AQ340="7",BI340,0)</f>
        <v>6714.4000000000005</v>
      </c>
      <c r="AF340" s="35">
        <f>IF(AQ340="2",BH340,0)</f>
        <v>0</v>
      </c>
      <c r="AG340" s="35">
        <f>IF(AQ340="2",BI340,0)</f>
        <v>0</v>
      </c>
      <c r="AH340" s="35">
        <f>IF(AQ340="0",BJ340,0)</f>
        <v>0</v>
      </c>
      <c r="AI340" s="77" t="s">
        <v>63</v>
      </c>
      <c r="AJ340" s="64">
        <f>IF(AN340=0,L340,0)</f>
        <v>0</v>
      </c>
      <c r="AK340" s="64">
        <f>IF(AN340=15,L340,0)</f>
        <v>0</v>
      </c>
      <c r="AL340" s="64">
        <f>IF(AN340=21,L340,0)</f>
        <v>6714.4000000000005</v>
      </c>
      <c r="AN340" s="35">
        <v>21</v>
      </c>
      <c r="AO340" s="35">
        <f>I340*0</f>
        <v>0</v>
      </c>
      <c r="AP340" s="35">
        <f>I340*(1-0)</f>
        <v>83.93</v>
      </c>
      <c r="AQ340" s="78" t="s">
        <v>235</v>
      </c>
      <c r="AV340" s="35">
        <f>AW340+AX340</f>
        <v>6714.4000000000005</v>
      </c>
      <c r="AW340" s="35">
        <f>H340*AO340</f>
        <v>0</v>
      </c>
      <c r="AX340" s="35">
        <f>H340*AP340</f>
        <v>6714.4000000000005</v>
      </c>
      <c r="AY340" s="80" t="s">
        <v>1696</v>
      </c>
      <c r="AZ340" s="80" t="s">
        <v>1740</v>
      </c>
      <c r="BA340" s="77" t="s">
        <v>1776</v>
      </c>
      <c r="BC340" s="35">
        <f>AW340+AX340</f>
        <v>6714.4000000000005</v>
      </c>
      <c r="BD340" s="35">
        <f>I340/(100-BE340)*100</f>
        <v>83.93</v>
      </c>
      <c r="BE340" s="35">
        <v>0</v>
      </c>
      <c r="BF340" s="35">
        <f>340</f>
        <v>340</v>
      </c>
      <c r="BH340" s="64">
        <f>H340*AO340</f>
        <v>0</v>
      </c>
      <c r="BI340" s="64">
        <f>H340*AP340</f>
        <v>6714.4000000000005</v>
      </c>
      <c r="BJ340" s="64">
        <f>H340*I340</f>
        <v>6714.4000000000005</v>
      </c>
      <c r="BK340" s="64" t="s">
        <v>1790</v>
      </c>
      <c r="BL340" s="35">
        <v>734</v>
      </c>
    </row>
    <row r="341" spans="1:64">
      <c r="A341" s="19"/>
      <c r="C341" s="59" t="s">
        <v>730</v>
      </c>
      <c r="D341" s="167" t="s">
        <v>1355</v>
      </c>
      <c r="E341" s="168"/>
      <c r="F341" s="168"/>
      <c r="G341" s="168"/>
      <c r="H341" s="168"/>
      <c r="I341" s="168"/>
      <c r="J341" s="168"/>
      <c r="K341" s="168"/>
      <c r="L341" s="168"/>
      <c r="M341" s="169"/>
      <c r="N341" s="19"/>
    </row>
    <row r="342" spans="1:64">
      <c r="A342" s="47" t="s">
        <v>422</v>
      </c>
      <c r="B342" s="55" t="s">
        <v>63</v>
      </c>
      <c r="C342" s="55" t="s">
        <v>924</v>
      </c>
      <c r="D342" s="165" t="s">
        <v>1356</v>
      </c>
      <c r="E342" s="166"/>
      <c r="F342" s="166"/>
      <c r="G342" s="55" t="s">
        <v>1644</v>
      </c>
      <c r="H342" s="64">
        <v>1173.748</v>
      </c>
      <c r="I342" s="64">
        <v>0.37</v>
      </c>
      <c r="J342" s="64">
        <f>H342*AO342</f>
        <v>0</v>
      </c>
      <c r="K342" s="64">
        <f>H342*AP342</f>
        <v>434.28676000000002</v>
      </c>
      <c r="L342" s="64">
        <f>H342*I342</f>
        <v>434.28676000000002</v>
      </c>
      <c r="M342" s="73" t="s">
        <v>1660</v>
      </c>
      <c r="N342" s="19"/>
      <c r="Z342" s="35">
        <f>IF(AQ342="5",BJ342,0)</f>
        <v>0</v>
      </c>
      <c r="AB342" s="35">
        <f>IF(AQ342="1",BH342,0)</f>
        <v>0</v>
      </c>
      <c r="AC342" s="35">
        <f>IF(AQ342="1",BI342,0)</f>
        <v>0</v>
      </c>
      <c r="AD342" s="35">
        <f>IF(AQ342="7",BH342,0)</f>
        <v>0</v>
      </c>
      <c r="AE342" s="35">
        <f>IF(AQ342="7",BI342,0)</f>
        <v>434.28676000000002</v>
      </c>
      <c r="AF342" s="35">
        <f>IF(AQ342="2",BH342,0)</f>
        <v>0</v>
      </c>
      <c r="AG342" s="35">
        <f>IF(AQ342="2",BI342,0)</f>
        <v>0</v>
      </c>
      <c r="AH342" s="35">
        <f>IF(AQ342="0",BJ342,0)</f>
        <v>0</v>
      </c>
      <c r="AI342" s="77" t="s">
        <v>63</v>
      </c>
      <c r="AJ342" s="64">
        <f>IF(AN342=0,L342,0)</f>
        <v>0</v>
      </c>
      <c r="AK342" s="64">
        <f>IF(AN342=15,L342,0)</f>
        <v>0</v>
      </c>
      <c r="AL342" s="64">
        <f>IF(AN342=21,L342,0)</f>
        <v>434.28676000000002</v>
      </c>
      <c r="AN342" s="35">
        <v>21</v>
      </c>
      <c r="AO342" s="35">
        <f>I342*0</f>
        <v>0</v>
      </c>
      <c r="AP342" s="35">
        <f>I342*(1-0)</f>
        <v>0.37</v>
      </c>
      <c r="AQ342" s="78" t="s">
        <v>235</v>
      </c>
      <c r="AV342" s="35">
        <f>AW342+AX342</f>
        <v>434.28676000000002</v>
      </c>
      <c r="AW342" s="35">
        <f>H342*AO342</f>
        <v>0</v>
      </c>
      <c r="AX342" s="35">
        <f>H342*AP342</f>
        <v>434.28676000000002</v>
      </c>
      <c r="AY342" s="80" t="s">
        <v>1696</v>
      </c>
      <c r="AZ342" s="80" t="s">
        <v>1740</v>
      </c>
      <c r="BA342" s="77" t="s">
        <v>1776</v>
      </c>
      <c r="BC342" s="35">
        <f>AW342+AX342</f>
        <v>434.28676000000002</v>
      </c>
      <c r="BD342" s="35">
        <f>I342/(100-BE342)*100</f>
        <v>0.37</v>
      </c>
      <c r="BE342" s="35">
        <v>0</v>
      </c>
      <c r="BF342" s="35">
        <f>342</f>
        <v>342</v>
      </c>
      <c r="BH342" s="64">
        <f>H342*AO342</f>
        <v>0</v>
      </c>
      <c r="BI342" s="64">
        <f>H342*AP342</f>
        <v>434.28676000000002</v>
      </c>
      <c r="BJ342" s="64">
        <f>H342*I342</f>
        <v>434.28676000000002</v>
      </c>
      <c r="BK342" s="64" t="s">
        <v>1790</v>
      </c>
      <c r="BL342" s="35">
        <v>734</v>
      </c>
    </row>
    <row r="343" spans="1:64">
      <c r="A343" s="19"/>
      <c r="C343" s="59" t="s">
        <v>730</v>
      </c>
      <c r="D343" s="167" t="s">
        <v>1357</v>
      </c>
      <c r="E343" s="168"/>
      <c r="F343" s="168"/>
      <c r="G343" s="168"/>
      <c r="H343" s="168"/>
      <c r="I343" s="168"/>
      <c r="J343" s="168"/>
      <c r="K343" s="168"/>
      <c r="L343" s="168"/>
      <c r="M343" s="169"/>
      <c r="N343" s="19"/>
    </row>
    <row r="344" spans="1:64">
      <c r="A344" s="46"/>
      <c r="B344" s="54" t="s">
        <v>63</v>
      </c>
      <c r="C344" s="54" t="s">
        <v>158</v>
      </c>
      <c r="D344" s="163" t="s">
        <v>209</v>
      </c>
      <c r="E344" s="164"/>
      <c r="F344" s="164"/>
      <c r="G344" s="61" t="s">
        <v>57</v>
      </c>
      <c r="H344" s="61" t="s">
        <v>57</v>
      </c>
      <c r="I344" s="61" t="s">
        <v>57</v>
      </c>
      <c r="J344" s="83">
        <f>SUM(J345:J351)</f>
        <v>0</v>
      </c>
      <c r="K344" s="83">
        <f>SUM(K345:K351)</f>
        <v>10320.368</v>
      </c>
      <c r="L344" s="83">
        <f>SUM(L345:L351)</f>
        <v>10320.368</v>
      </c>
      <c r="M344" s="72"/>
      <c r="N344" s="19"/>
      <c r="AI344" s="77" t="s">
        <v>63</v>
      </c>
      <c r="AS344" s="83">
        <f>SUM(AJ345:AJ351)</f>
        <v>0</v>
      </c>
      <c r="AT344" s="83">
        <f>SUM(AK345:AK351)</f>
        <v>0</v>
      </c>
      <c r="AU344" s="83">
        <f>SUM(AL345:AL351)</f>
        <v>10320.368</v>
      </c>
    </row>
    <row r="345" spans="1:64">
      <c r="A345" s="47" t="s">
        <v>423</v>
      </c>
      <c r="B345" s="55" t="s">
        <v>63</v>
      </c>
      <c r="C345" s="55" t="s">
        <v>925</v>
      </c>
      <c r="D345" s="165" t="s">
        <v>1358</v>
      </c>
      <c r="E345" s="166"/>
      <c r="F345" s="166"/>
      <c r="G345" s="55" t="s">
        <v>1641</v>
      </c>
      <c r="H345" s="64">
        <v>80</v>
      </c>
      <c r="I345" s="64">
        <v>90.8</v>
      </c>
      <c r="J345" s="64">
        <f>H345*AO345</f>
        <v>0</v>
      </c>
      <c r="K345" s="64">
        <f>H345*AP345</f>
        <v>7264</v>
      </c>
      <c r="L345" s="64">
        <f>H345*I345</f>
        <v>7264</v>
      </c>
      <c r="M345" s="73" t="s">
        <v>1660</v>
      </c>
      <c r="N345" s="19"/>
      <c r="Z345" s="35">
        <f>IF(AQ345="5",BJ345,0)</f>
        <v>0</v>
      </c>
      <c r="AB345" s="35">
        <f>IF(AQ345="1",BH345,0)</f>
        <v>0</v>
      </c>
      <c r="AC345" s="35">
        <f>IF(AQ345="1",BI345,0)</f>
        <v>0</v>
      </c>
      <c r="AD345" s="35">
        <f>IF(AQ345="7",BH345,0)</f>
        <v>0</v>
      </c>
      <c r="AE345" s="35">
        <f>IF(AQ345="7",BI345,0)</f>
        <v>7264</v>
      </c>
      <c r="AF345" s="35">
        <f>IF(AQ345="2",BH345,0)</f>
        <v>0</v>
      </c>
      <c r="AG345" s="35">
        <f>IF(AQ345="2",BI345,0)</f>
        <v>0</v>
      </c>
      <c r="AH345" s="35">
        <f>IF(AQ345="0",BJ345,0)</f>
        <v>0</v>
      </c>
      <c r="AI345" s="77" t="s">
        <v>63</v>
      </c>
      <c r="AJ345" s="64">
        <f>IF(AN345=0,L345,0)</f>
        <v>0</v>
      </c>
      <c r="AK345" s="64">
        <f>IF(AN345=15,L345,0)</f>
        <v>0</v>
      </c>
      <c r="AL345" s="64">
        <f>IF(AN345=21,L345,0)</f>
        <v>7264</v>
      </c>
      <c r="AN345" s="35">
        <v>21</v>
      </c>
      <c r="AO345" s="35">
        <f>I345*0</f>
        <v>0</v>
      </c>
      <c r="AP345" s="35">
        <f>I345*(1-0)</f>
        <v>90.8</v>
      </c>
      <c r="AQ345" s="78" t="s">
        <v>235</v>
      </c>
      <c r="AV345" s="35">
        <f>AW345+AX345</f>
        <v>7264</v>
      </c>
      <c r="AW345" s="35">
        <f>H345*AO345</f>
        <v>0</v>
      </c>
      <c r="AX345" s="35">
        <f>H345*AP345</f>
        <v>7264</v>
      </c>
      <c r="AY345" s="80" t="s">
        <v>1697</v>
      </c>
      <c r="AZ345" s="80" t="s">
        <v>1740</v>
      </c>
      <c r="BA345" s="77" t="s">
        <v>1776</v>
      </c>
      <c r="BC345" s="35">
        <f>AW345+AX345</f>
        <v>7264</v>
      </c>
      <c r="BD345" s="35">
        <f>I345/(100-BE345)*100</f>
        <v>90.8</v>
      </c>
      <c r="BE345" s="35">
        <v>0</v>
      </c>
      <c r="BF345" s="35">
        <f>345</f>
        <v>345</v>
      </c>
      <c r="BH345" s="64">
        <f>H345*AO345</f>
        <v>0</v>
      </c>
      <c r="BI345" s="64">
        <f>H345*AP345</f>
        <v>7264</v>
      </c>
      <c r="BJ345" s="64">
        <f>H345*I345</f>
        <v>7264</v>
      </c>
      <c r="BK345" s="64" t="s">
        <v>1790</v>
      </c>
      <c r="BL345" s="35">
        <v>735</v>
      </c>
    </row>
    <row r="346" spans="1:64">
      <c r="A346" s="19"/>
      <c r="C346" s="59" t="s">
        <v>730</v>
      </c>
      <c r="D346" s="167" t="s">
        <v>1359</v>
      </c>
      <c r="E346" s="168"/>
      <c r="F346" s="168"/>
      <c r="G346" s="168"/>
      <c r="H346" s="168"/>
      <c r="I346" s="168"/>
      <c r="J346" s="168"/>
      <c r="K346" s="168"/>
      <c r="L346" s="168"/>
      <c r="M346" s="169"/>
      <c r="N346" s="19"/>
    </row>
    <row r="347" spans="1:64">
      <c r="A347" s="47" t="s">
        <v>424</v>
      </c>
      <c r="B347" s="55" t="s">
        <v>63</v>
      </c>
      <c r="C347" s="55" t="s">
        <v>926</v>
      </c>
      <c r="D347" s="165" t="s">
        <v>1360</v>
      </c>
      <c r="E347" s="166"/>
      <c r="F347" s="166"/>
      <c r="G347" s="55" t="s">
        <v>1641</v>
      </c>
      <c r="H347" s="64">
        <v>80</v>
      </c>
      <c r="I347" s="64">
        <v>18.899999999999999</v>
      </c>
      <c r="J347" s="64">
        <f>H347*AO347</f>
        <v>0</v>
      </c>
      <c r="K347" s="64">
        <f>H347*AP347</f>
        <v>1512</v>
      </c>
      <c r="L347" s="64">
        <f>H347*I347</f>
        <v>1512</v>
      </c>
      <c r="M347" s="73" t="s">
        <v>1660</v>
      </c>
      <c r="N347" s="19"/>
      <c r="Z347" s="35">
        <f>IF(AQ347="5",BJ347,0)</f>
        <v>0</v>
      </c>
      <c r="AB347" s="35">
        <f>IF(AQ347="1",BH347,0)</f>
        <v>0</v>
      </c>
      <c r="AC347" s="35">
        <f>IF(AQ347="1",BI347,0)</f>
        <v>0</v>
      </c>
      <c r="AD347" s="35">
        <f>IF(AQ347="7",BH347,0)</f>
        <v>0</v>
      </c>
      <c r="AE347" s="35">
        <f>IF(AQ347="7",BI347,0)</f>
        <v>1512</v>
      </c>
      <c r="AF347" s="35">
        <f>IF(AQ347="2",BH347,0)</f>
        <v>0</v>
      </c>
      <c r="AG347" s="35">
        <f>IF(AQ347="2",BI347,0)</f>
        <v>0</v>
      </c>
      <c r="AH347" s="35">
        <f>IF(AQ347="0",BJ347,0)</f>
        <v>0</v>
      </c>
      <c r="AI347" s="77" t="s">
        <v>63</v>
      </c>
      <c r="AJ347" s="64">
        <f>IF(AN347=0,L347,0)</f>
        <v>0</v>
      </c>
      <c r="AK347" s="64">
        <f>IF(AN347=15,L347,0)</f>
        <v>0</v>
      </c>
      <c r="AL347" s="64">
        <f>IF(AN347=21,L347,0)</f>
        <v>1512</v>
      </c>
      <c r="AN347" s="35">
        <v>21</v>
      </c>
      <c r="AO347" s="35">
        <f>I347*0</f>
        <v>0</v>
      </c>
      <c r="AP347" s="35">
        <f>I347*(1-0)</f>
        <v>18.899999999999999</v>
      </c>
      <c r="AQ347" s="78" t="s">
        <v>235</v>
      </c>
      <c r="AV347" s="35">
        <f>AW347+AX347</f>
        <v>1512</v>
      </c>
      <c r="AW347" s="35">
        <f>H347*AO347</f>
        <v>0</v>
      </c>
      <c r="AX347" s="35">
        <f>H347*AP347</f>
        <v>1512</v>
      </c>
      <c r="AY347" s="80" t="s">
        <v>1697</v>
      </c>
      <c r="AZ347" s="80" t="s">
        <v>1740</v>
      </c>
      <c r="BA347" s="77" t="s">
        <v>1776</v>
      </c>
      <c r="BC347" s="35">
        <f>AW347+AX347</f>
        <v>1512</v>
      </c>
      <c r="BD347" s="35">
        <f>I347/(100-BE347)*100</f>
        <v>18.899999999999999</v>
      </c>
      <c r="BE347" s="35">
        <v>0</v>
      </c>
      <c r="BF347" s="35">
        <f>347</f>
        <v>347</v>
      </c>
      <c r="BH347" s="64">
        <f>H347*AO347</f>
        <v>0</v>
      </c>
      <c r="BI347" s="64">
        <f>H347*AP347</f>
        <v>1512</v>
      </c>
      <c r="BJ347" s="64">
        <f>H347*I347</f>
        <v>1512</v>
      </c>
      <c r="BK347" s="64" t="s">
        <v>1790</v>
      </c>
      <c r="BL347" s="35">
        <v>735</v>
      </c>
    </row>
    <row r="348" spans="1:64">
      <c r="A348" s="19"/>
      <c r="C348" s="59" t="s">
        <v>730</v>
      </c>
      <c r="D348" s="167" t="s">
        <v>1361</v>
      </c>
      <c r="E348" s="168"/>
      <c r="F348" s="168"/>
      <c r="G348" s="168"/>
      <c r="H348" s="168"/>
      <c r="I348" s="168"/>
      <c r="J348" s="168"/>
      <c r="K348" s="168"/>
      <c r="L348" s="168"/>
      <c r="M348" s="169"/>
      <c r="N348" s="19"/>
    </row>
    <row r="349" spans="1:64">
      <c r="A349" s="47" t="s">
        <v>425</v>
      </c>
      <c r="B349" s="55" t="s">
        <v>63</v>
      </c>
      <c r="C349" s="55" t="s">
        <v>927</v>
      </c>
      <c r="D349" s="165" t="s">
        <v>1362</v>
      </c>
      <c r="E349" s="166"/>
      <c r="F349" s="166"/>
      <c r="G349" s="55" t="s">
        <v>1645</v>
      </c>
      <c r="H349" s="64">
        <v>125</v>
      </c>
      <c r="I349" s="64">
        <v>9.4499999999999993</v>
      </c>
      <c r="J349" s="64">
        <f>H349*AO349</f>
        <v>0</v>
      </c>
      <c r="K349" s="64">
        <f>H349*AP349</f>
        <v>1181.25</v>
      </c>
      <c r="L349" s="64">
        <f>H349*I349</f>
        <v>1181.25</v>
      </c>
      <c r="M349" s="73" t="s">
        <v>1660</v>
      </c>
      <c r="N349" s="19"/>
      <c r="Z349" s="35">
        <f>IF(AQ349="5",BJ349,0)</f>
        <v>0</v>
      </c>
      <c r="AB349" s="35">
        <f>IF(AQ349="1",BH349,0)</f>
        <v>0</v>
      </c>
      <c r="AC349" s="35">
        <f>IF(AQ349="1",BI349,0)</f>
        <v>0</v>
      </c>
      <c r="AD349" s="35">
        <f>IF(AQ349="7",BH349,0)</f>
        <v>0</v>
      </c>
      <c r="AE349" s="35">
        <f>IF(AQ349="7",BI349,0)</f>
        <v>1181.25</v>
      </c>
      <c r="AF349" s="35">
        <f>IF(AQ349="2",BH349,0)</f>
        <v>0</v>
      </c>
      <c r="AG349" s="35">
        <f>IF(AQ349="2",BI349,0)</f>
        <v>0</v>
      </c>
      <c r="AH349" s="35">
        <f>IF(AQ349="0",BJ349,0)</f>
        <v>0</v>
      </c>
      <c r="AI349" s="77" t="s">
        <v>63</v>
      </c>
      <c r="AJ349" s="64">
        <f>IF(AN349=0,L349,0)</f>
        <v>0</v>
      </c>
      <c r="AK349" s="64">
        <f>IF(AN349=15,L349,0)</f>
        <v>0</v>
      </c>
      <c r="AL349" s="64">
        <f>IF(AN349=21,L349,0)</f>
        <v>1181.25</v>
      </c>
      <c r="AN349" s="35">
        <v>21</v>
      </c>
      <c r="AO349" s="35">
        <f>I349*0</f>
        <v>0</v>
      </c>
      <c r="AP349" s="35">
        <f>I349*(1-0)</f>
        <v>9.4499999999999993</v>
      </c>
      <c r="AQ349" s="78" t="s">
        <v>235</v>
      </c>
      <c r="AV349" s="35">
        <f>AW349+AX349</f>
        <v>1181.25</v>
      </c>
      <c r="AW349" s="35">
        <f>H349*AO349</f>
        <v>0</v>
      </c>
      <c r="AX349" s="35">
        <f>H349*AP349</f>
        <v>1181.25</v>
      </c>
      <c r="AY349" s="80" t="s">
        <v>1697</v>
      </c>
      <c r="AZ349" s="80" t="s">
        <v>1740</v>
      </c>
      <c r="BA349" s="77" t="s">
        <v>1776</v>
      </c>
      <c r="BC349" s="35">
        <f>AW349+AX349</f>
        <v>1181.25</v>
      </c>
      <c r="BD349" s="35">
        <f>I349/(100-BE349)*100</f>
        <v>9.4499999999999993</v>
      </c>
      <c r="BE349" s="35">
        <v>0</v>
      </c>
      <c r="BF349" s="35">
        <f>349</f>
        <v>349</v>
      </c>
      <c r="BH349" s="64">
        <f>H349*AO349</f>
        <v>0</v>
      </c>
      <c r="BI349" s="64">
        <f>H349*AP349</f>
        <v>1181.25</v>
      </c>
      <c r="BJ349" s="64">
        <f>H349*I349</f>
        <v>1181.25</v>
      </c>
      <c r="BK349" s="64" t="s">
        <v>1790</v>
      </c>
      <c r="BL349" s="35">
        <v>735</v>
      </c>
    </row>
    <row r="350" spans="1:64">
      <c r="A350" s="19"/>
      <c r="C350" s="59" t="s">
        <v>730</v>
      </c>
      <c r="D350" s="167" t="s">
        <v>1363</v>
      </c>
      <c r="E350" s="168"/>
      <c r="F350" s="168"/>
      <c r="G350" s="168"/>
      <c r="H350" s="168"/>
      <c r="I350" s="168"/>
      <c r="J350" s="168"/>
      <c r="K350" s="168"/>
      <c r="L350" s="168"/>
      <c r="M350" s="169"/>
      <c r="N350" s="19"/>
    </row>
    <row r="351" spans="1:64">
      <c r="A351" s="47" t="s">
        <v>426</v>
      </c>
      <c r="B351" s="55" t="s">
        <v>63</v>
      </c>
      <c r="C351" s="55" t="s">
        <v>928</v>
      </c>
      <c r="D351" s="165" t="s">
        <v>1364</v>
      </c>
      <c r="E351" s="166"/>
      <c r="F351" s="166"/>
      <c r="G351" s="55" t="s">
        <v>1644</v>
      </c>
      <c r="H351" s="64">
        <v>129.685</v>
      </c>
      <c r="I351" s="64">
        <v>2.8</v>
      </c>
      <c r="J351" s="64">
        <f>H351*AO351</f>
        <v>0</v>
      </c>
      <c r="K351" s="64">
        <f>H351*AP351</f>
        <v>363.11799999999999</v>
      </c>
      <c r="L351" s="64">
        <f>H351*I351</f>
        <v>363.11799999999999</v>
      </c>
      <c r="M351" s="73" t="s">
        <v>1660</v>
      </c>
      <c r="N351" s="19"/>
      <c r="Z351" s="35">
        <f>IF(AQ351="5",BJ351,0)</f>
        <v>0</v>
      </c>
      <c r="AB351" s="35">
        <f>IF(AQ351="1",BH351,0)</f>
        <v>0</v>
      </c>
      <c r="AC351" s="35">
        <f>IF(AQ351="1",BI351,0)</f>
        <v>0</v>
      </c>
      <c r="AD351" s="35">
        <f>IF(AQ351="7",BH351,0)</f>
        <v>0</v>
      </c>
      <c r="AE351" s="35">
        <f>IF(AQ351="7",BI351,0)</f>
        <v>363.11799999999999</v>
      </c>
      <c r="AF351" s="35">
        <f>IF(AQ351="2",BH351,0)</f>
        <v>0</v>
      </c>
      <c r="AG351" s="35">
        <f>IF(AQ351="2",BI351,0)</f>
        <v>0</v>
      </c>
      <c r="AH351" s="35">
        <f>IF(AQ351="0",BJ351,0)</f>
        <v>0</v>
      </c>
      <c r="AI351" s="77" t="s">
        <v>63</v>
      </c>
      <c r="AJ351" s="64">
        <f>IF(AN351=0,L351,0)</f>
        <v>0</v>
      </c>
      <c r="AK351" s="64">
        <f>IF(AN351=15,L351,0)</f>
        <v>0</v>
      </c>
      <c r="AL351" s="64">
        <f>IF(AN351=21,L351,0)</f>
        <v>363.11799999999999</v>
      </c>
      <c r="AN351" s="35">
        <v>21</v>
      </c>
      <c r="AO351" s="35">
        <f>I351*0</f>
        <v>0</v>
      </c>
      <c r="AP351" s="35">
        <f>I351*(1-0)</f>
        <v>2.8</v>
      </c>
      <c r="AQ351" s="78" t="s">
        <v>235</v>
      </c>
      <c r="AV351" s="35">
        <f>AW351+AX351</f>
        <v>363.11799999999999</v>
      </c>
      <c r="AW351" s="35">
        <f>H351*AO351</f>
        <v>0</v>
      </c>
      <c r="AX351" s="35">
        <f>H351*AP351</f>
        <v>363.11799999999999</v>
      </c>
      <c r="AY351" s="80" t="s">
        <v>1697</v>
      </c>
      <c r="AZ351" s="80" t="s">
        <v>1740</v>
      </c>
      <c r="BA351" s="77" t="s">
        <v>1776</v>
      </c>
      <c r="BC351" s="35">
        <f>AW351+AX351</f>
        <v>363.11799999999999</v>
      </c>
      <c r="BD351" s="35">
        <f>I351/(100-BE351)*100</f>
        <v>2.8</v>
      </c>
      <c r="BE351" s="35">
        <v>0</v>
      </c>
      <c r="BF351" s="35">
        <f>351</f>
        <v>351</v>
      </c>
      <c r="BH351" s="64">
        <f>H351*AO351</f>
        <v>0</v>
      </c>
      <c r="BI351" s="64">
        <f>H351*AP351</f>
        <v>363.11799999999999</v>
      </c>
      <c r="BJ351" s="64">
        <f>H351*I351</f>
        <v>363.11799999999999</v>
      </c>
      <c r="BK351" s="64" t="s">
        <v>1790</v>
      </c>
      <c r="BL351" s="35">
        <v>735</v>
      </c>
    </row>
    <row r="352" spans="1:64">
      <c r="A352" s="19"/>
      <c r="C352" s="59" t="s">
        <v>730</v>
      </c>
      <c r="D352" s="167" t="s">
        <v>1365</v>
      </c>
      <c r="E352" s="168"/>
      <c r="F352" s="168"/>
      <c r="G352" s="168"/>
      <c r="H352" s="168"/>
      <c r="I352" s="168"/>
      <c r="J352" s="168"/>
      <c r="K352" s="168"/>
      <c r="L352" s="168"/>
      <c r="M352" s="169"/>
      <c r="N352" s="19"/>
    </row>
    <row r="353" spans="1:64">
      <c r="A353" s="46"/>
      <c r="B353" s="54" t="s">
        <v>63</v>
      </c>
      <c r="C353" s="54" t="s">
        <v>159</v>
      </c>
      <c r="D353" s="163" t="s">
        <v>40</v>
      </c>
      <c r="E353" s="164"/>
      <c r="F353" s="164"/>
      <c r="G353" s="61" t="s">
        <v>57</v>
      </c>
      <c r="H353" s="61" t="s">
        <v>57</v>
      </c>
      <c r="I353" s="61" t="s">
        <v>57</v>
      </c>
      <c r="J353" s="83">
        <f>SUM(J354:J356)</f>
        <v>0</v>
      </c>
      <c r="K353" s="83">
        <f>SUM(K354:K356)</f>
        <v>27100</v>
      </c>
      <c r="L353" s="83">
        <f>SUM(L354:L356)</f>
        <v>27100</v>
      </c>
      <c r="M353" s="72"/>
      <c r="N353" s="19"/>
      <c r="AI353" s="77" t="s">
        <v>63</v>
      </c>
      <c r="AS353" s="83">
        <f>SUM(AJ354:AJ356)</f>
        <v>0</v>
      </c>
      <c r="AT353" s="83">
        <f>SUM(AK354:AK356)</f>
        <v>0</v>
      </c>
      <c r="AU353" s="83">
        <f>SUM(AL354:AL356)</f>
        <v>27100</v>
      </c>
    </row>
    <row r="354" spans="1:64">
      <c r="A354" s="47" t="s">
        <v>427</v>
      </c>
      <c r="B354" s="55" t="s">
        <v>63</v>
      </c>
      <c r="C354" s="55" t="s">
        <v>929</v>
      </c>
      <c r="D354" s="165" t="s">
        <v>1366</v>
      </c>
      <c r="E354" s="166"/>
      <c r="F354" s="166"/>
      <c r="G354" s="55" t="s">
        <v>1646</v>
      </c>
      <c r="H354" s="64">
        <v>32</v>
      </c>
      <c r="I354" s="64">
        <v>300</v>
      </c>
      <c r="J354" s="64">
        <f>H354*AO354</f>
        <v>0</v>
      </c>
      <c r="K354" s="64">
        <f>H354*AP354</f>
        <v>9600</v>
      </c>
      <c r="L354" s="64">
        <f>H354*I354</f>
        <v>9600</v>
      </c>
      <c r="M354" s="73"/>
      <c r="N354" s="19"/>
      <c r="Z354" s="35">
        <f>IF(AQ354="5",BJ354,0)</f>
        <v>0</v>
      </c>
      <c r="AB354" s="35">
        <f>IF(AQ354="1",BH354,0)</f>
        <v>0</v>
      </c>
      <c r="AC354" s="35">
        <f>IF(AQ354="1",BI354,0)</f>
        <v>9600</v>
      </c>
      <c r="AD354" s="35">
        <f>IF(AQ354="7",BH354,0)</f>
        <v>0</v>
      </c>
      <c r="AE354" s="35">
        <f>IF(AQ354="7",BI354,0)</f>
        <v>0</v>
      </c>
      <c r="AF354" s="35">
        <f>IF(AQ354="2",BH354,0)</f>
        <v>0</v>
      </c>
      <c r="AG354" s="35">
        <f>IF(AQ354="2",BI354,0)</f>
        <v>0</v>
      </c>
      <c r="AH354" s="35">
        <f>IF(AQ354="0",BJ354,0)</f>
        <v>0</v>
      </c>
      <c r="AI354" s="77" t="s">
        <v>63</v>
      </c>
      <c r="AJ354" s="64">
        <f>IF(AN354=0,L354,0)</f>
        <v>0</v>
      </c>
      <c r="AK354" s="64">
        <f>IF(AN354=15,L354,0)</f>
        <v>0</v>
      </c>
      <c r="AL354" s="64">
        <f>IF(AN354=21,L354,0)</f>
        <v>9600</v>
      </c>
      <c r="AN354" s="35">
        <v>21</v>
      </c>
      <c r="AO354" s="35">
        <f>I354*0</f>
        <v>0</v>
      </c>
      <c r="AP354" s="35">
        <f>I354*(1-0)</f>
        <v>300</v>
      </c>
      <c r="AQ354" s="78" t="s">
        <v>109</v>
      </c>
      <c r="AV354" s="35">
        <f>AW354+AX354</f>
        <v>9600</v>
      </c>
      <c r="AW354" s="35">
        <f>H354*AO354</f>
        <v>0</v>
      </c>
      <c r="AX354" s="35">
        <f>H354*AP354</f>
        <v>9600</v>
      </c>
      <c r="AY354" s="80" t="s">
        <v>1698</v>
      </c>
      <c r="AZ354" s="80" t="s">
        <v>1741</v>
      </c>
      <c r="BA354" s="77" t="s">
        <v>1776</v>
      </c>
      <c r="BC354" s="35">
        <f>AW354+AX354</f>
        <v>9600</v>
      </c>
      <c r="BD354" s="35">
        <f>I354/(100-BE354)*100</f>
        <v>300</v>
      </c>
      <c r="BE354" s="35">
        <v>0</v>
      </c>
      <c r="BF354" s="35">
        <f>354</f>
        <v>354</v>
      </c>
      <c r="BH354" s="64">
        <f>H354*AO354</f>
        <v>0</v>
      </c>
      <c r="BI354" s="64">
        <f>H354*AP354</f>
        <v>9600</v>
      </c>
      <c r="BJ354" s="64">
        <f>H354*I354</f>
        <v>9600</v>
      </c>
      <c r="BK354" s="64" t="s">
        <v>1790</v>
      </c>
      <c r="BL354" s="35" t="s">
        <v>159</v>
      </c>
    </row>
    <row r="355" spans="1:64">
      <c r="A355" s="19"/>
      <c r="C355" s="59" t="s">
        <v>730</v>
      </c>
      <c r="D355" s="167" t="s">
        <v>1366</v>
      </c>
      <c r="E355" s="168"/>
      <c r="F355" s="168"/>
      <c r="G355" s="168"/>
      <c r="H355" s="168"/>
      <c r="I355" s="168"/>
      <c r="J355" s="168"/>
      <c r="K355" s="168"/>
      <c r="L355" s="168"/>
      <c r="M355" s="169"/>
      <c r="N355" s="19"/>
    </row>
    <row r="356" spans="1:64">
      <c r="A356" s="47" t="s">
        <v>428</v>
      </c>
      <c r="B356" s="55" t="s">
        <v>63</v>
      </c>
      <c r="C356" s="55" t="s">
        <v>930</v>
      </c>
      <c r="D356" s="165" t="s">
        <v>1367</v>
      </c>
      <c r="E356" s="166"/>
      <c r="F356" s="166"/>
      <c r="G356" s="55" t="s">
        <v>1640</v>
      </c>
      <c r="H356" s="64">
        <v>70</v>
      </c>
      <c r="I356" s="64">
        <v>250</v>
      </c>
      <c r="J356" s="64">
        <f>H356*AO356</f>
        <v>0</v>
      </c>
      <c r="K356" s="64">
        <f>H356*AP356</f>
        <v>17500</v>
      </c>
      <c r="L356" s="64">
        <f>H356*I356</f>
        <v>17500</v>
      </c>
      <c r="M356" s="73"/>
      <c r="N356" s="19"/>
      <c r="Z356" s="35">
        <f>IF(AQ356="5",BJ356,0)</f>
        <v>0</v>
      </c>
      <c r="AB356" s="35">
        <f>IF(AQ356="1",BH356,0)</f>
        <v>0</v>
      </c>
      <c r="AC356" s="35">
        <f>IF(AQ356="1",BI356,0)</f>
        <v>17500</v>
      </c>
      <c r="AD356" s="35">
        <f>IF(AQ356="7",BH356,0)</f>
        <v>0</v>
      </c>
      <c r="AE356" s="35">
        <f>IF(AQ356="7",BI356,0)</f>
        <v>0</v>
      </c>
      <c r="AF356" s="35">
        <f>IF(AQ356="2",BH356,0)</f>
        <v>0</v>
      </c>
      <c r="AG356" s="35">
        <f>IF(AQ356="2",BI356,0)</f>
        <v>0</v>
      </c>
      <c r="AH356" s="35">
        <f>IF(AQ356="0",BJ356,0)</f>
        <v>0</v>
      </c>
      <c r="AI356" s="77" t="s">
        <v>63</v>
      </c>
      <c r="AJ356" s="64">
        <f>IF(AN356=0,L356,0)</f>
        <v>0</v>
      </c>
      <c r="AK356" s="64">
        <f>IF(AN356=15,L356,0)</f>
        <v>0</v>
      </c>
      <c r="AL356" s="64">
        <f>IF(AN356=21,L356,0)</f>
        <v>17500</v>
      </c>
      <c r="AN356" s="35">
        <v>21</v>
      </c>
      <c r="AO356" s="35">
        <f>I356*0</f>
        <v>0</v>
      </c>
      <c r="AP356" s="35">
        <f>I356*(1-0)</f>
        <v>250</v>
      </c>
      <c r="AQ356" s="78" t="s">
        <v>109</v>
      </c>
      <c r="AV356" s="35">
        <f>AW356+AX356</f>
        <v>17500</v>
      </c>
      <c r="AW356" s="35">
        <f>H356*AO356</f>
        <v>0</v>
      </c>
      <c r="AX356" s="35">
        <f>H356*AP356</f>
        <v>17500</v>
      </c>
      <c r="AY356" s="80" t="s">
        <v>1698</v>
      </c>
      <c r="AZ356" s="80" t="s">
        <v>1741</v>
      </c>
      <c r="BA356" s="77" t="s">
        <v>1776</v>
      </c>
      <c r="BC356" s="35">
        <f>AW356+AX356</f>
        <v>17500</v>
      </c>
      <c r="BD356" s="35">
        <f>I356/(100-BE356)*100</f>
        <v>250</v>
      </c>
      <c r="BE356" s="35">
        <v>0</v>
      </c>
      <c r="BF356" s="35">
        <f>356</f>
        <v>356</v>
      </c>
      <c r="BH356" s="64">
        <f>H356*AO356</f>
        <v>0</v>
      </c>
      <c r="BI356" s="64">
        <f>H356*AP356</f>
        <v>17500</v>
      </c>
      <c r="BJ356" s="64">
        <f>H356*I356</f>
        <v>17500</v>
      </c>
      <c r="BK356" s="64" t="s">
        <v>1790</v>
      </c>
      <c r="BL356" s="35" t="s">
        <v>159</v>
      </c>
    </row>
    <row r="357" spans="1:64">
      <c r="A357" s="19"/>
      <c r="C357" s="59" t="s">
        <v>730</v>
      </c>
      <c r="D357" s="167" t="s">
        <v>1367</v>
      </c>
      <c r="E357" s="168"/>
      <c r="F357" s="168"/>
      <c r="G357" s="168"/>
      <c r="H357" s="168"/>
      <c r="I357" s="168"/>
      <c r="J357" s="168"/>
      <c r="K357" s="168"/>
      <c r="L357" s="168"/>
      <c r="M357" s="169"/>
      <c r="N357" s="19"/>
    </row>
    <row r="358" spans="1:64">
      <c r="A358" s="49"/>
      <c r="B358" s="57" t="s">
        <v>64</v>
      </c>
      <c r="C358" s="57"/>
      <c r="D358" s="172" t="s">
        <v>80</v>
      </c>
      <c r="E358" s="173"/>
      <c r="F358" s="173"/>
      <c r="G358" s="62" t="s">
        <v>57</v>
      </c>
      <c r="H358" s="62" t="s">
        <v>57</v>
      </c>
      <c r="I358" s="62" t="s">
        <v>57</v>
      </c>
      <c r="J358" s="84">
        <f>J359+J364+J373+J380+J395+J422+J427</f>
        <v>43594</v>
      </c>
      <c r="K358" s="84">
        <f>K359+K364+K373+K380+K395+K422+K427</f>
        <v>24907.958500000001</v>
      </c>
      <c r="L358" s="84">
        <f>L359+L364+L373+L380+L395+L422+L427</f>
        <v>68501.958499999993</v>
      </c>
      <c r="M358" s="75"/>
      <c r="N358" s="19"/>
    </row>
    <row r="359" spans="1:64">
      <c r="A359" s="46"/>
      <c r="B359" s="54" t="s">
        <v>64</v>
      </c>
      <c r="C359" s="54" t="s">
        <v>138</v>
      </c>
      <c r="D359" s="163" t="s">
        <v>189</v>
      </c>
      <c r="E359" s="164"/>
      <c r="F359" s="164"/>
      <c r="G359" s="61" t="s">
        <v>57</v>
      </c>
      <c r="H359" s="61" t="s">
        <v>57</v>
      </c>
      <c r="I359" s="61" t="s">
        <v>57</v>
      </c>
      <c r="J359" s="83">
        <f>SUM(J360:J362)</f>
        <v>0</v>
      </c>
      <c r="K359" s="83">
        <f>SUM(K360:K362)</f>
        <v>250</v>
      </c>
      <c r="L359" s="83">
        <f>SUM(L360:L362)</f>
        <v>250</v>
      </c>
      <c r="M359" s="72"/>
      <c r="N359" s="19"/>
      <c r="AI359" s="77" t="s">
        <v>64</v>
      </c>
      <c r="AS359" s="83">
        <f>SUM(AJ360:AJ362)</f>
        <v>0</v>
      </c>
      <c r="AT359" s="83">
        <f>SUM(AK360:AK362)</f>
        <v>0</v>
      </c>
      <c r="AU359" s="83">
        <f>SUM(AL360:AL362)</f>
        <v>250</v>
      </c>
    </row>
    <row r="360" spans="1:64">
      <c r="A360" s="47" t="s">
        <v>429</v>
      </c>
      <c r="B360" s="55" t="s">
        <v>64</v>
      </c>
      <c r="C360" s="55" t="s">
        <v>931</v>
      </c>
      <c r="D360" s="165" t="s">
        <v>1368</v>
      </c>
      <c r="E360" s="166"/>
      <c r="F360" s="166"/>
      <c r="G360" s="55" t="s">
        <v>1642</v>
      </c>
      <c r="H360" s="64">
        <v>5</v>
      </c>
      <c r="I360" s="64">
        <v>20</v>
      </c>
      <c r="J360" s="64">
        <f>H360*AO360</f>
        <v>0</v>
      </c>
      <c r="K360" s="64">
        <f>H360*AP360</f>
        <v>100</v>
      </c>
      <c r="L360" s="64">
        <f>H360*I360</f>
        <v>100</v>
      </c>
      <c r="M360" s="73" t="s">
        <v>1660</v>
      </c>
      <c r="N360" s="19"/>
      <c r="Z360" s="35">
        <f>IF(AQ360="5",BJ360,0)</f>
        <v>0</v>
      </c>
      <c r="AB360" s="35">
        <f>IF(AQ360="1",BH360,0)</f>
        <v>0</v>
      </c>
      <c r="AC360" s="35">
        <f>IF(AQ360="1",BI360,0)</f>
        <v>0</v>
      </c>
      <c r="AD360" s="35">
        <f>IF(AQ360="7",BH360,0)</f>
        <v>0</v>
      </c>
      <c r="AE360" s="35">
        <f>IF(AQ360="7",BI360,0)</f>
        <v>100</v>
      </c>
      <c r="AF360" s="35">
        <f>IF(AQ360="2",BH360,0)</f>
        <v>0</v>
      </c>
      <c r="AG360" s="35">
        <f>IF(AQ360="2",BI360,0)</f>
        <v>0</v>
      </c>
      <c r="AH360" s="35">
        <f>IF(AQ360="0",BJ360,0)</f>
        <v>0</v>
      </c>
      <c r="AI360" s="77" t="s">
        <v>64</v>
      </c>
      <c r="AJ360" s="64">
        <f>IF(AN360=0,L360,0)</f>
        <v>0</v>
      </c>
      <c r="AK360" s="64">
        <f>IF(AN360=15,L360,0)</f>
        <v>0</v>
      </c>
      <c r="AL360" s="64">
        <f>IF(AN360=21,L360,0)</f>
        <v>100</v>
      </c>
      <c r="AN360" s="35">
        <v>21</v>
      </c>
      <c r="AO360" s="35">
        <f>I360*0</f>
        <v>0</v>
      </c>
      <c r="AP360" s="35">
        <f>I360*(1-0)</f>
        <v>20</v>
      </c>
      <c r="AQ360" s="78" t="s">
        <v>235</v>
      </c>
      <c r="AV360" s="35">
        <f>AW360+AX360</f>
        <v>100</v>
      </c>
      <c r="AW360" s="35">
        <f>H360*AO360</f>
        <v>0</v>
      </c>
      <c r="AX360" s="35">
        <f>H360*AP360</f>
        <v>100</v>
      </c>
      <c r="AY360" s="80" t="s">
        <v>1677</v>
      </c>
      <c r="AZ360" s="80" t="s">
        <v>1742</v>
      </c>
      <c r="BA360" s="77" t="s">
        <v>1777</v>
      </c>
      <c r="BC360" s="35">
        <f>AW360+AX360</f>
        <v>100</v>
      </c>
      <c r="BD360" s="35">
        <f>I360/(100-BE360)*100</f>
        <v>20</v>
      </c>
      <c r="BE360" s="35">
        <v>0</v>
      </c>
      <c r="BF360" s="35">
        <f>360</f>
        <v>360</v>
      </c>
      <c r="BH360" s="64">
        <f>H360*AO360</f>
        <v>0</v>
      </c>
      <c r="BI360" s="64">
        <f>H360*AP360</f>
        <v>100</v>
      </c>
      <c r="BJ360" s="64">
        <f>H360*I360</f>
        <v>100</v>
      </c>
      <c r="BK360" s="64" t="s">
        <v>1790</v>
      </c>
      <c r="BL360" s="35">
        <v>783</v>
      </c>
    </row>
    <row r="361" spans="1:64">
      <c r="A361" s="19"/>
      <c r="C361" s="59" t="s">
        <v>730</v>
      </c>
      <c r="D361" s="167" t="s">
        <v>1369</v>
      </c>
      <c r="E361" s="168"/>
      <c r="F361" s="168"/>
      <c r="G361" s="168"/>
      <c r="H361" s="168"/>
      <c r="I361" s="168"/>
      <c r="J361" s="168"/>
      <c r="K361" s="168"/>
      <c r="L361" s="168"/>
      <c r="M361" s="169"/>
      <c r="N361" s="19"/>
    </row>
    <row r="362" spans="1:64">
      <c r="A362" s="47" t="s">
        <v>430</v>
      </c>
      <c r="B362" s="55" t="s">
        <v>64</v>
      </c>
      <c r="C362" s="55" t="s">
        <v>932</v>
      </c>
      <c r="D362" s="165" t="s">
        <v>1370</v>
      </c>
      <c r="E362" s="166"/>
      <c r="F362" s="166"/>
      <c r="G362" s="55" t="s">
        <v>1642</v>
      </c>
      <c r="H362" s="64">
        <v>5</v>
      </c>
      <c r="I362" s="64">
        <v>30</v>
      </c>
      <c r="J362" s="64">
        <f>H362*AO362</f>
        <v>0</v>
      </c>
      <c r="K362" s="64">
        <f>H362*AP362</f>
        <v>150</v>
      </c>
      <c r="L362" s="64">
        <f>H362*I362</f>
        <v>150</v>
      </c>
      <c r="M362" s="73" t="s">
        <v>1660</v>
      </c>
      <c r="N362" s="19"/>
      <c r="Z362" s="35">
        <f>IF(AQ362="5",BJ362,0)</f>
        <v>0</v>
      </c>
      <c r="AB362" s="35">
        <f>IF(AQ362="1",BH362,0)</f>
        <v>0</v>
      </c>
      <c r="AC362" s="35">
        <f>IF(AQ362="1",BI362,0)</f>
        <v>0</v>
      </c>
      <c r="AD362" s="35">
        <f>IF(AQ362="7",BH362,0)</f>
        <v>0</v>
      </c>
      <c r="AE362" s="35">
        <f>IF(AQ362="7",BI362,0)</f>
        <v>150</v>
      </c>
      <c r="AF362" s="35">
        <f>IF(AQ362="2",BH362,0)</f>
        <v>0</v>
      </c>
      <c r="AG362" s="35">
        <f>IF(AQ362="2",BI362,0)</f>
        <v>0</v>
      </c>
      <c r="AH362" s="35">
        <f>IF(AQ362="0",BJ362,0)</f>
        <v>0</v>
      </c>
      <c r="AI362" s="77" t="s">
        <v>64</v>
      </c>
      <c r="AJ362" s="64">
        <f>IF(AN362=0,L362,0)</f>
        <v>0</v>
      </c>
      <c r="AK362" s="64">
        <f>IF(AN362=15,L362,0)</f>
        <v>0</v>
      </c>
      <c r="AL362" s="64">
        <f>IF(AN362=21,L362,0)</f>
        <v>150</v>
      </c>
      <c r="AN362" s="35">
        <v>21</v>
      </c>
      <c r="AO362" s="35">
        <f>I362*0</f>
        <v>0</v>
      </c>
      <c r="AP362" s="35">
        <f>I362*(1-0)</f>
        <v>30</v>
      </c>
      <c r="AQ362" s="78" t="s">
        <v>235</v>
      </c>
      <c r="AV362" s="35">
        <f>AW362+AX362</f>
        <v>150</v>
      </c>
      <c r="AW362" s="35">
        <f>H362*AO362</f>
        <v>0</v>
      </c>
      <c r="AX362" s="35">
        <f>H362*AP362</f>
        <v>150</v>
      </c>
      <c r="AY362" s="80" t="s">
        <v>1677</v>
      </c>
      <c r="AZ362" s="80" t="s">
        <v>1742</v>
      </c>
      <c r="BA362" s="77" t="s">
        <v>1777</v>
      </c>
      <c r="BC362" s="35">
        <f>AW362+AX362</f>
        <v>150</v>
      </c>
      <c r="BD362" s="35">
        <f>I362/(100-BE362)*100</f>
        <v>30</v>
      </c>
      <c r="BE362" s="35">
        <v>0</v>
      </c>
      <c r="BF362" s="35">
        <f>362</f>
        <v>362</v>
      </c>
      <c r="BH362" s="64">
        <f>H362*AO362</f>
        <v>0</v>
      </c>
      <c r="BI362" s="64">
        <f>H362*AP362</f>
        <v>150</v>
      </c>
      <c r="BJ362" s="64">
        <f>H362*I362</f>
        <v>150</v>
      </c>
      <c r="BK362" s="64" t="s">
        <v>1790</v>
      </c>
      <c r="BL362" s="35">
        <v>783</v>
      </c>
    </row>
    <row r="363" spans="1:64">
      <c r="A363" s="19"/>
      <c r="C363" s="59" t="s">
        <v>730</v>
      </c>
      <c r="D363" s="167" t="s">
        <v>1371</v>
      </c>
      <c r="E363" s="168"/>
      <c r="F363" s="168"/>
      <c r="G363" s="168"/>
      <c r="H363" s="168"/>
      <c r="I363" s="168"/>
      <c r="J363" s="168"/>
      <c r="K363" s="168"/>
      <c r="L363" s="168"/>
      <c r="M363" s="169"/>
      <c r="N363" s="19"/>
    </row>
    <row r="364" spans="1:64">
      <c r="A364" s="46"/>
      <c r="B364" s="54" t="s">
        <v>64</v>
      </c>
      <c r="C364" s="54" t="s">
        <v>146</v>
      </c>
      <c r="D364" s="163" t="s">
        <v>197</v>
      </c>
      <c r="E364" s="164"/>
      <c r="F364" s="164"/>
      <c r="G364" s="61" t="s">
        <v>57</v>
      </c>
      <c r="H364" s="61" t="s">
        <v>57</v>
      </c>
      <c r="I364" s="61" t="s">
        <v>57</v>
      </c>
      <c r="J364" s="83">
        <f>SUM(J365:J371)</f>
        <v>579.70000000000005</v>
      </c>
      <c r="K364" s="83">
        <f>SUM(K365:K371)</f>
        <v>267.86</v>
      </c>
      <c r="L364" s="83">
        <f>SUM(L365:L371)</f>
        <v>847.56000000000006</v>
      </c>
      <c r="M364" s="72"/>
      <c r="N364" s="19"/>
      <c r="AI364" s="77" t="s">
        <v>64</v>
      </c>
      <c r="AS364" s="83">
        <f>SUM(AJ365:AJ371)</f>
        <v>0</v>
      </c>
      <c r="AT364" s="83">
        <f>SUM(AK365:AK371)</f>
        <v>0</v>
      </c>
      <c r="AU364" s="83">
        <f>SUM(AL365:AL371)</f>
        <v>847.56000000000006</v>
      </c>
    </row>
    <row r="365" spans="1:64">
      <c r="A365" s="47" t="s">
        <v>431</v>
      </c>
      <c r="B365" s="55" t="s">
        <v>64</v>
      </c>
      <c r="C365" s="55" t="s">
        <v>933</v>
      </c>
      <c r="D365" s="165" t="s">
        <v>1372</v>
      </c>
      <c r="E365" s="166"/>
      <c r="F365" s="166"/>
      <c r="G365" s="55" t="s">
        <v>1642</v>
      </c>
      <c r="H365" s="64">
        <v>5</v>
      </c>
      <c r="I365" s="64">
        <v>51.5</v>
      </c>
      <c r="J365" s="64">
        <f>H365*AO365</f>
        <v>0</v>
      </c>
      <c r="K365" s="64">
        <f>H365*AP365</f>
        <v>257.5</v>
      </c>
      <c r="L365" s="64">
        <f>H365*I365</f>
        <v>257.5</v>
      </c>
      <c r="M365" s="73" t="s">
        <v>1660</v>
      </c>
      <c r="N365" s="19"/>
      <c r="Z365" s="35">
        <f>IF(AQ365="5",BJ365,0)</f>
        <v>0</v>
      </c>
      <c r="AB365" s="35">
        <f>IF(AQ365="1",BH365,0)</f>
        <v>0</v>
      </c>
      <c r="AC365" s="35">
        <f>IF(AQ365="1",BI365,0)</f>
        <v>0</v>
      </c>
      <c r="AD365" s="35">
        <f>IF(AQ365="7",BH365,0)</f>
        <v>0</v>
      </c>
      <c r="AE365" s="35">
        <f>IF(AQ365="7",BI365,0)</f>
        <v>257.5</v>
      </c>
      <c r="AF365" s="35">
        <f>IF(AQ365="2",BH365,0)</f>
        <v>0</v>
      </c>
      <c r="AG365" s="35">
        <f>IF(AQ365="2",BI365,0)</f>
        <v>0</v>
      </c>
      <c r="AH365" s="35">
        <f>IF(AQ365="0",BJ365,0)</f>
        <v>0</v>
      </c>
      <c r="AI365" s="77" t="s">
        <v>64</v>
      </c>
      <c r="AJ365" s="64">
        <f>IF(AN365=0,L365,0)</f>
        <v>0</v>
      </c>
      <c r="AK365" s="64">
        <f>IF(AN365=15,L365,0)</f>
        <v>0</v>
      </c>
      <c r="AL365" s="64">
        <f>IF(AN365=21,L365,0)</f>
        <v>257.5</v>
      </c>
      <c r="AN365" s="35">
        <v>21</v>
      </c>
      <c r="AO365" s="35">
        <f>I365*0</f>
        <v>0</v>
      </c>
      <c r="AP365" s="35">
        <f>I365*(1-0)</f>
        <v>51.5</v>
      </c>
      <c r="AQ365" s="78" t="s">
        <v>235</v>
      </c>
      <c r="AV365" s="35">
        <f>AW365+AX365</f>
        <v>257.5</v>
      </c>
      <c r="AW365" s="35">
        <f>H365*AO365</f>
        <v>0</v>
      </c>
      <c r="AX365" s="35">
        <f>H365*AP365</f>
        <v>257.5</v>
      </c>
      <c r="AY365" s="80" t="s">
        <v>1685</v>
      </c>
      <c r="AZ365" s="80" t="s">
        <v>1743</v>
      </c>
      <c r="BA365" s="77" t="s">
        <v>1777</v>
      </c>
      <c r="BC365" s="35">
        <f>AW365+AX365</f>
        <v>257.5</v>
      </c>
      <c r="BD365" s="35">
        <f>I365/(100-BE365)*100</f>
        <v>51.5</v>
      </c>
      <c r="BE365" s="35">
        <v>0</v>
      </c>
      <c r="BF365" s="35">
        <f>365</f>
        <v>365</v>
      </c>
      <c r="BH365" s="64">
        <f>H365*AO365</f>
        <v>0</v>
      </c>
      <c r="BI365" s="64">
        <f>H365*AP365</f>
        <v>257.5</v>
      </c>
      <c r="BJ365" s="64">
        <f>H365*I365</f>
        <v>257.5</v>
      </c>
      <c r="BK365" s="64" t="s">
        <v>1790</v>
      </c>
      <c r="BL365" s="35">
        <v>713</v>
      </c>
    </row>
    <row r="366" spans="1:64">
      <c r="A366" s="19"/>
      <c r="C366" s="59" t="s">
        <v>730</v>
      </c>
      <c r="D366" s="167" t="s">
        <v>1373</v>
      </c>
      <c r="E366" s="168"/>
      <c r="F366" s="168"/>
      <c r="G366" s="168"/>
      <c r="H366" s="168"/>
      <c r="I366" s="168"/>
      <c r="J366" s="168"/>
      <c r="K366" s="168"/>
      <c r="L366" s="168"/>
      <c r="M366" s="169"/>
      <c r="N366" s="19"/>
    </row>
    <row r="367" spans="1:64">
      <c r="A367" s="48" t="s">
        <v>432</v>
      </c>
      <c r="B367" s="56" t="s">
        <v>64</v>
      </c>
      <c r="C367" s="56" t="s">
        <v>934</v>
      </c>
      <c r="D367" s="170" t="s">
        <v>1374</v>
      </c>
      <c r="E367" s="171"/>
      <c r="F367" s="171"/>
      <c r="G367" s="56" t="s">
        <v>1642</v>
      </c>
      <c r="H367" s="65">
        <v>1.1000000000000001</v>
      </c>
      <c r="I367" s="65">
        <v>99</v>
      </c>
      <c r="J367" s="65">
        <f>H367*AO367</f>
        <v>108.9</v>
      </c>
      <c r="K367" s="65">
        <f>H367*AP367</f>
        <v>0</v>
      </c>
      <c r="L367" s="65">
        <f>H367*I367</f>
        <v>108.9</v>
      </c>
      <c r="M367" s="74" t="s">
        <v>1660</v>
      </c>
      <c r="N367" s="19"/>
      <c r="Z367" s="35">
        <f>IF(AQ367="5",BJ367,0)</f>
        <v>0</v>
      </c>
      <c r="AB367" s="35">
        <f>IF(AQ367="1",BH367,0)</f>
        <v>0</v>
      </c>
      <c r="AC367" s="35">
        <f>IF(AQ367="1",BI367,0)</f>
        <v>0</v>
      </c>
      <c r="AD367" s="35">
        <f>IF(AQ367="7",BH367,0)</f>
        <v>108.9</v>
      </c>
      <c r="AE367" s="35">
        <f>IF(AQ367="7",BI367,0)</f>
        <v>0</v>
      </c>
      <c r="AF367" s="35">
        <f>IF(AQ367="2",BH367,0)</f>
        <v>0</v>
      </c>
      <c r="AG367" s="35">
        <f>IF(AQ367="2",BI367,0)</f>
        <v>0</v>
      </c>
      <c r="AH367" s="35">
        <f>IF(AQ367="0",BJ367,0)</f>
        <v>0</v>
      </c>
      <c r="AI367" s="77" t="s">
        <v>64</v>
      </c>
      <c r="AJ367" s="65">
        <f>IF(AN367=0,L367,0)</f>
        <v>0</v>
      </c>
      <c r="AK367" s="65">
        <f>IF(AN367=15,L367,0)</f>
        <v>0</v>
      </c>
      <c r="AL367" s="65">
        <f>IF(AN367=21,L367,0)</f>
        <v>108.9</v>
      </c>
      <c r="AN367" s="35">
        <v>21</v>
      </c>
      <c r="AO367" s="35">
        <f>I367*1</f>
        <v>99</v>
      </c>
      <c r="AP367" s="35">
        <f>I367*(1-1)</f>
        <v>0</v>
      </c>
      <c r="AQ367" s="79" t="s">
        <v>235</v>
      </c>
      <c r="AV367" s="35">
        <f>AW367+AX367</f>
        <v>108.9</v>
      </c>
      <c r="AW367" s="35">
        <f>H367*AO367</f>
        <v>108.9</v>
      </c>
      <c r="AX367" s="35">
        <f>H367*AP367</f>
        <v>0</v>
      </c>
      <c r="AY367" s="80" t="s">
        <v>1685</v>
      </c>
      <c r="AZ367" s="80" t="s">
        <v>1743</v>
      </c>
      <c r="BA367" s="77" t="s">
        <v>1777</v>
      </c>
      <c r="BC367" s="35">
        <f>AW367+AX367</f>
        <v>108.9</v>
      </c>
      <c r="BD367" s="35">
        <f>I367/(100-BE367)*100</f>
        <v>99</v>
      </c>
      <c r="BE367" s="35">
        <v>0</v>
      </c>
      <c r="BF367" s="35">
        <f>367</f>
        <v>367</v>
      </c>
      <c r="BH367" s="65">
        <f>H367*AO367</f>
        <v>108.9</v>
      </c>
      <c r="BI367" s="65">
        <f>H367*AP367</f>
        <v>0</v>
      </c>
      <c r="BJ367" s="65">
        <f>H367*I367</f>
        <v>108.9</v>
      </c>
      <c r="BK367" s="65" t="s">
        <v>1642</v>
      </c>
      <c r="BL367" s="35">
        <v>713</v>
      </c>
    </row>
    <row r="368" spans="1:64">
      <c r="A368" s="19"/>
      <c r="C368" s="59" t="s">
        <v>730</v>
      </c>
      <c r="D368" s="167" t="s">
        <v>1374</v>
      </c>
      <c r="E368" s="168"/>
      <c r="F368" s="168"/>
      <c r="G368" s="168"/>
      <c r="H368" s="168"/>
      <c r="I368" s="168"/>
      <c r="J368" s="168"/>
      <c r="K368" s="168"/>
      <c r="L368" s="168"/>
      <c r="M368" s="169"/>
      <c r="N368" s="19"/>
    </row>
    <row r="369" spans="1:64">
      <c r="A369" s="48" t="s">
        <v>433</v>
      </c>
      <c r="B369" s="56" t="s">
        <v>64</v>
      </c>
      <c r="C369" s="56" t="s">
        <v>935</v>
      </c>
      <c r="D369" s="170" t="s">
        <v>1375</v>
      </c>
      <c r="E369" s="171"/>
      <c r="F369" s="171"/>
      <c r="G369" s="56" t="s">
        <v>1642</v>
      </c>
      <c r="H369" s="65">
        <v>4.4000000000000004</v>
      </c>
      <c r="I369" s="65">
        <v>107</v>
      </c>
      <c r="J369" s="65">
        <f>H369*AO369</f>
        <v>470.8</v>
      </c>
      <c r="K369" s="65">
        <f>H369*AP369</f>
        <v>0</v>
      </c>
      <c r="L369" s="65">
        <f>H369*I369</f>
        <v>470.8</v>
      </c>
      <c r="M369" s="74" t="s">
        <v>1660</v>
      </c>
      <c r="N369" s="19"/>
      <c r="Z369" s="35">
        <f>IF(AQ369="5",BJ369,0)</f>
        <v>0</v>
      </c>
      <c r="AB369" s="35">
        <f>IF(AQ369="1",BH369,0)</f>
        <v>0</v>
      </c>
      <c r="AC369" s="35">
        <f>IF(AQ369="1",BI369,0)</f>
        <v>0</v>
      </c>
      <c r="AD369" s="35">
        <f>IF(AQ369="7",BH369,0)</f>
        <v>470.8</v>
      </c>
      <c r="AE369" s="35">
        <f>IF(AQ369="7",BI369,0)</f>
        <v>0</v>
      </c>
      <c r="AF369" s="35">
        <f>IF(AQ369="2",BH369,0)</f>
        <v>0</v>
      </c>
      <c r="AG369" s="35">
        <f>IF(AQ369="2",BI369,0)</f>
        <v>0</v>
      </c>
      <c r="AH369" s="35">
        <f>IF(AQ369="0",BJ369,0)</f>
        <v>0</v>
      </c>
      <c r="AI369" s="77" t="s">
        <v>64</v>
      </c>
      <c r="AJ369" s="65">
        <f>IF(AN369=0,L369,0)</f>
        <v>0</v>
      </c>
      <c r="AK369" s="65">
        <f>IF(AN369=15,L369,0)</f>
        <v>0</v>
      </c>
      <c r="AL369" s="65">
        <f>IF(AN369=21,L369,0)</f>
        <v>470.8</v>
      </c>
      <c r="AN369" s="35">
        <v>21</v>
      </c>
      <c r="AO369" s="35">
        <f>I369*1</f>
        <v>107</v>
      </c>
      <c r="AP369" s="35">
        <f>I369*(1-1)</f>
        <v>0</v>
      </c>
      <c r="AQ369" s="79" t="s">
        <v>235</v>
      </c>
      <c r="AV369" s="35">
        <f>AW369+AX369</f>
        <v>470.8</v>
      </c>
      <c r="AW369" s="35">
        <f>H369*AO369</f>
        <v>470.8</v>
      </c>
      <c r="AX369" s="35">
        <f>H369*AP369</f>
        <v>0</v>
      </c>
      <c r="AY369" s="80" t="s">
        <v>1685</v>
      </c>
      <c r="AZ369" s="80" t="s">
        <v>1743</v>
      </c>
      <c r="BA369" s="77" t="s">
        <v>1777</v>
      </c>
      <c r="BC369" s="35">
        <f>AW369+AX369</f>
        <v>470.8</v>
      </c>
      <c r="BD369" s="35">
        <f>I369/(100-BE369)*100</f>
        <v>107</v>
      </c>
      <c r="BE369" s="35">
        <v>0</v>
      </c>
      <c r="BF369" s="35">
        <f>369</f>
        <v>369</v>
      </c>
      <c r="BH369" s="65">
        <f>H369*AO369</f>
        <v>470.8</v>
      </c>
      <c r="BI369" s="65">
        <f>H369*AP369</f>
        <v>0</v>
      </c>
      <c r="BJ369" s="65">
        <f>H369*I369</f>
        <v>470.8</v>
      </c>
      <c r="BK369" s="65" t="s">
        <v>1642</v>
      </c>
      <c r="BL369" s="35">
        <v>713</v>
      </c>
    </row>
    <row r="370" spans="1:64">
      <c r="A370" s="19"/>
      <c r="C370" s="59" t="s">
        <v>730</v>
      </c>
      <c r="D370" s="167" t="s">
        <v>1375</v>
      </c>
      <c r="E370" s="168"/>
      <c r="F370" s="168"/>
      <c r="G370" s="168"/>
      <c r="H370" s="168"/>
      <c r="I370" s="168"/>
      <c r="J370" s="168"/>
      <c r="K370" s="168"/>
      <c r="L370" s="168"/>
      <c r="M370" s="169"/>
      <c r="N370" s="19"/>
    </row>
    <row r="371" spans="1:64">
      <c r="A371" s="47" t="s">
        <v>434</v>
      </c>
      <c r="B371" s="55" t="s">
        <v>64</v>
      </c>
      <c r="C371" s="55" t="s">
        <v>936</v>
      </c>
      <c r="D371" s="165" t="s">
        <v>1376</v>
      </c>
      <c r="E371" s="166"/>
      <c r="F371" s="166"/>
      <c r="G371" s="55" t="s">
        <v>1644</v>
      </c>
      <c r="H371" s="64">
        <v>10.36</v>
      </c>
      <c r="I371" s="64">
        <v>1</v>
      </c>
      <c r="J371" s="64">
        <f>H371*AO371</f>
        <v>0</v>
      </c>
      <c r="K371" s="64">
        <f>H371*AP371</f>
        <v>10.36</v>
      </c>
      <c r="L371" s="64">
        <f>H371*I371</f>
        <v>10.36</v>
      </c>
      <c r="M371" s="73" t="s">
        <v>1660</v>
      </c>
      <c r="N371" s="19"/>
      <c r="Z371" s="35">
        <f>IF(AQ371="5",BJ371,0)</f>
        <v>0</v>
      </c>
      <c r="AB371" s="35">
        <f>IF(AQ371="1",BH371,0)</f>
        <v>0</v>
      </c>
      <c r="AC371" s="35">
        <f>IF(AQ371="1",BI371,0)</f>
        <v>0</v>
      </c>
      <c r="AD371" s="35">
        <f>IF(AQ371="7",BH371,0)</f>
        <v>0</v>
      </c>
      <c r="AE371" s="35">
        <f>IF(AQ371="7",BI371,0)</f>
        <v>10.36</v>
      </c>
      <c r="AF371" s="35">
        <f>IF(AQ371="2",BH371,0)</f>
        <v>0</v>
      </c>
      <c r="AG371" s="35">
        <f>IF(AQ371="2",BI371,0)</f>
        <v>0</v>
      </c>
      <c r="AH371" s="35">
        <f>IF(AQ371="0",BJ371,0)</f>
        <v>0</v>
      </c>
      <c r="AI371" s="77" t="s">
        <v>64</v>
      </c>
      <c r="AJ371" s="64">
        <f>IF(AN371=0,L371,0)</f>
        <v>0</v>
      </c>
      <c r="AK371" s="64">
        <f>IF(AN371=15,L371,0)</f>
        <v>0</v>
      </c>
      <c r="AL371" s="64">
        <f>IF(AN371=21,L371,0)</f>
        <v>10.36</v>
      </c>
      <c r="AN371" s="35">
        <v>21</v>
      </c>
      <c r="AO371" s="35">
        <f>I371*0</f>
        <v>0</v>
      </c>
      <c r="AP371" s="35">
        <f>I371*(1-0)</f>
        <v>1</v>
      </c>
      <c r="AQ371" s="78" t="s">
        <v>235</v>
      </c>
      <c r="AV371" s="35">
        <f>AW371+AX371</f>
        <v>10.36</v>
      </c>
      <c r="AW371" s="35">
        <f>H371*AO371</f>
        <v>0</v>
      </c>
      <c r="AX371" s="35">
        <f>H371*AP371</f>
        <v>10.36</v>
      </c>
      <c r="AY371" s="80" t="s">
        <v>1685</v>
      </c>
      <c r="AZ371" s="80" t="s">
        <v>1743</v>
      </c>
      <c r="BA371" s="77" t="s">
        <v>1777</v>
      </c>
      <c r="BC371" s="35">
        <f>AW371+AX371</f>
        <v>10.36</v>
      </c>
      <c r="BD371" s="35">
        <f>I371/(100-BE371)*100</f>
        <v>1</v>
      </c>
      <c r="BE371" s="35">
        <v>0</v>
      </c>
      <c r="BF371" s="35">
        <f>371</f>
        <v>371</v>
      </c>
      <c r="BH371" s="64">
        <f>H371*AO371</f>
        <v>0</v>
      </c>
      <c r="BI371" s="64">
        <f>H371*AP371</f>
        <v>10.36</v>
      </c>
      <c r="BJ371" s="64">
        <f>H371*I371</f>
        <v>10.36</v>
      </c>
      <c r="BK371" s="64" t="s">
        <v>1790</v>
      </c>
      <c r="BL371" s="35">
        <v>713</v>
      </c>
    </row>
    <row r="372" spans="1:64">
      <c r="A372" s="19"/>
      <c r="C372" s="59" t="s">
        <v>730</v>
      </c>
      <c r="D372" s="167" t="s">
        <v>1377</v>
      </c>
      <c r="E372" s="168"/>
      <c r="F372" s="168"/>
      <c r="G372" s="168"/>
      <c r="H372" s="168"/>
      <c r="I372" s="168"/>
      <c r="J372" s="168"/>
      <c r="K372" s="168"/>
      <c r="L372" s="168"/>
      <c r="M372" s="169"/>
      <c r="N372" s="19"/>
    </row>
    <row r="373" spans="1:64">
      <c r="A373" s="46"/>
      <c r="B373" s="54" t="s">
        <v>64</v>
      </c>
      <c r="C373" s="54" t="s">
        <v>155</v>
      </c>
      <c r="D373" s="163" t="s">
        <v>206</v>
      </c>
      <c r="E373" s="164"/>
      <c r="F373" s="164"/>
      <c r="G373" s="61" t="s">
        <v>57</v>
      </c>
      <c r="H373" s="61" t="s">
        <v>57</v>
      </c>
      <c r="I373" s="61" t="s">
        <v>57</v>
      </c>
      <c r="J373" s="83">
        <f>SUM(J374:J378)</f>
        <v>22540</v>
      </c>
      <c r="K373" s="83">
        <f>SUM(K374:K378)</f>
        <v>857.44</v>
      </c>
      <c r="L373" s="83">
        <f>SUM(L374:L378)</f>
        <v>23397.439999999999</v>
      </c>
      <c r="M373" s="72"/>
      <c r="N373" s="19"/>
      <c r="AI373" s="77" t="s">
        <v>64</v>
      </c>
      <c r="AS373" s="83">
        <f>SUM(AJ374:AJ378)</f>
        <v>0</v>
      </c>
      <c r="AT373" s="83">
        <f>SUM(AK374:AK378)</f>
        <v>0</v>
      </c>
      <c r="AU373" s="83">
        <f>SUM(AL374:AL378)</f>
        <v>23397.439999999999</v>
      </c>
    </row>
    <row r="374" spans="1:64">
      <c r="A374" s="47" t="s">
        <v>435</v>
      </c>
      <c r="B374" s="55" t="s">
        <v>64</v>
      </c>
      <c r="C374" s="55" t="s">
        <v>937</v>
      </c>
      <c r="D374" s="165" t="s">
        <v>1378</v>
      </c>
      <c r="E374" s="166"/>
      <c r="F374" s="166"/>
      <c r="G374" s="55" t="s">
        <v>1643</v>
      </c>
      <c r="H374" s="64">
        <v>1</v>
      </c>
      <c r="I374" s="64">
        <v>550</v>
      </c>
      <c r="J374" s="64">
        <f>H374*AO374</f>
        <v>0</v>
      </c>
      <c r="K374" s="64">
        <f>H374*AP374</f>
        <v>550</v>
      </c>
      <c r="L374" s="64">
        <f>H374*I374</f>
        <v>550</v>
      </c>
      <c r="M374" s="73" t="s">
        <v>1660</v>
      </c>
      <c r="N374" s="19"/>
      <c r="Z374" s="35">
        <f>IF(AQ374="5",BJ374,0)</f>
        <v>0</v>
      </c>
      <c r="AB374" s="35">
        <f>IF(AQ374="1",BH374,0)</f>
        <v>0</v>
      </c>
      <c r="AC374" s="35">
        <f>IF(AQ374="1",BI374,0)</f>
        <v>0</v>
      </c>
      <c r="AD374" s="35">
        <f>IF(AQ374="7",BH374,0)</f>
        <v>0</v>
      </c>
      <c r="AE374" s="35">
        <f>IF(AQ374="7",BI374,0)</f>
        <v>550</v>
      </c>
      <c r="AF374" s="35">
        <f>IF(AQ374="2",BH374,0)</f>
        <v>0</v>
      </c>
      <c r="AG374" s="35">
        <f>IF(AQ374="2",BI374,0)</f>
        <v>0</v>
      </c>
      <c r="AH374" s="35">
        <f>IF(AQ374="0",BJ374,0)</f>
        <v>0</v>
      </c>
      <c r="AI374" s="77" t="s">
        <v>64</v>
      </c>
      <c r="AJ374" s="64">
        <f>IF(AN374=0,L374,0)</f>
        <v>0</v>
      </c>
      <c r="AK374" s="64">
        <f>IF(AN374=15,L374,0)</f>
        <v>0</v>
      </c>
      <c r="AL374" s="64">
        <f>IF(AN374=21,L374,0)</f>
        <v>550</v>
      </c>
      <c r="AN374" s="35">
        <v>21</v>
      </c>
      <c r="AO374" s="35">
        <f>I374*0</f>
        <v>0</v>
      </c>
      <c r="AP374" s="35">
        <f>I374*(1-0)</f>
        <v>550</v>
      </c>
      <c r="AQ374" s="78" t="s">
        <v>235</v>
      </c>
      <c r="AV374" s="35">
        <f>AW374+AX374</f>
        <v>550</v>
      </c>
      <c r="AW374" s="35">
        <f>H374*AO374</f>
        <v>0</v>
      </c>
      <c r="AX374" s="35">
        <f>H374*AP374</f>
        <v>550</v>
      </c>
      <c r="AY374" s="80" t="s">
        <v>1694</v>
      </c>
      <c r="AZ374" s="80" t="s">
        <v>1744</v>
      </c>
      <c r="BA374" s="77" t="s">
        <v>1777</v>
      </c>
      <c r="BC374" s="35">
        <f>AW374+AX374</f>
        <v>550</v>
      </c>
      <c r="BD374" s="35">
        <f>I374/(100-BE374)*100</f>
        <v>550</v>
      </c>
      <c r="BE374" s="35">
        <v>0</v>
      </c>
      <c r="BF374" s="35">
        <f>374</f>
        <v>374</v>
      </c>
      <c r="BH374" s="64">
        <f>H374*AO374</f>
        <v>0</v>
      </c>
      <c r="BI374" s="64">
        <f>H374*AP374</f>
        <v>550</v>
      </c>
      <c r="BJ374" s="64">
        <f>H374*I374</f>
        <v>550</v>
      </c>
      <c r="BK374" s="64" t="s">
        <v>1790</v>
      </c>
      <c r="BL374" s="35">
        <v>732</v>
      </c>
    </row>
    <row r="375" spans="1:64">
      <c r="A375" s="19"/>
      <c r="C375" s="59" t="s">
        <v>730</v>
      </c>
      <c r="D375" s="167" t="s">
        <v>1379</v>
      </c>
      <c r="E375" s="168"/>
      <c r="F375" s="168"/>
      <c r="G375" s="168"/>
      <c r="H375" s="168"/>
      <c r="I375" s="168"/>
      <c r="J375" s="168"/>
      <c r="K375" s="168"/>
      <c r="L375" s="168"/>
      <c r="M375" s="169"/>
      <c r="N375" s="19"/>
    </row>
    <row r="376" spans="1:64">
      <c r="A376" s="48" t="s">
        <v>436</v>
      </c>
      <c r="B376" s="56" t="s">
        <v>64</v>
      </c>
      <c r="C376" s="56" t="s">
        <v>938</v>
      </c>
      <c r="D376" s="170" t="s">
        <v>1380</v>
      </c>
      <c r="E376" s="171"/>
      <c r="F376" s="171"/>
      <c r="G376" s="56" t="s">
        <v>1641</v>
      </c>
      <c r="H376" s="65">
        <v>1</v>
      </c>
      <c r="I376" s="65">
        <v>22540</v>
      </c>
      <c r="J376" s="65">
        <f>H376*AO376</f>
        <v>22540</v>
      </c>
      <c r="K376" s="65">
        <f>H376*AP376</f>
        <v>0</v>
      </c>
      <c r="L376" s="65">
        <f>H376*I376</f>
        <v>22540</v>
      </c>
      <c r="M376" s="74"/>
      <c r="N376" s="19"/>
      <c r="Z376" s="35">
        <f>IF(AQ376="5",BJ376,0)</f>
        <v>0</v>
      </c>
      <c r="AB376" s="35">
        <f>IF(AQ376="1",BH376,0)</f>
        <v>0</v>
      </c>
      <c r="AC376" s="35">
        <f>IF(AQ376="1",BI376,0)</f>
        <v>0</v>
      </c>
      <c r="AD376" s="35">
        <f>IF(AQ376="7",BH376,0)</f>
        <v>22540</v>
      </c>
      <c r="AE376" s="35">
        <f>IF(AQ376="7",BI376,0)</f>
        <v>0</v>
      </c>
      <c r="AF376" s="35">
        <f>IF(AQ376="2",BH376,0)</f>
        <v>0</v>
      </c>
      <c r="AG376" s="35">
        <f>IF(AQ376="2",BI376,0)</f>
        <v>0</v>
      </c>
      <c r="AH376" s="35">
        <f>IF(AQ376="0",BJ376,0)</f>
        <v>0</v>
      </c>
      <c r="AI376" s="77" t="s">
        <v>64</v>
      </c>
      <c r="AJ376" s="65">
        <f>IF(AN376=0,L376,0)</f>
        <v>0</v>
      </c>
      <c r="AK376" s="65">
        <f>IF(AN376=15,L376,0)</f>
        <v>0</v>
      </c>
      <c r="AL376" s="65">
        <f>IF(AN376=21,L376,0)</f>
        <v>22540</v>
      </c>
      <c r="AN376" s="35">
        <v>21</v>
      </c>
      <c r="AO376" s="35">
        <f>I376*1</f>
        <v>22540</v>
      </c>
      <c r="AP376" s="35">
        <f>I376*(1-1)</f>
        <v>0</v>
      </c>
      <c r="AQ376" s="79" t="s">
        <v>235</v>
      </c>
      <c r="AV376" s="35">
        <f>AW376+AX376</f>
        <v>22540</v>
      </c>
      <c r="AW376" s="35">
        <f>H376*AO376</f>
        <v>22540</v>
      </c>
      <c r="AX376" s="35">
        <f>H376*AP376</f>
        <v>0</v>
      </c>
      <c r="AY376" s="80" t="s">
        <v>1694</v>
      </c>
      <c r="AZ376" s="80" t="s">
        <v>1744</v>
      </c>
      <c r="BA376" s="77" t="s">
        <v>1777</v>
      </c>
      <c r="BC376" s="35">
        <f>AW376+AX376</f>
        <v>22540</v>
      </c>
      <c r="BD376" s="35">
        <f>I376/(100-BE376)*100</f>
        <v>22540</v>
      </c>
      <c r="BE376" s="35">
        <v>0</v>
      </c>
      <c r="BF376" s="35">
        <f>376</f>
        <v>376</v>
      </c>
      <c r="BH376" s="65">
        <f>H376*AO376</f>
        <v>22540</v>
      </c>
      <c r="BI376" s="65">
        <f>H376*AP376</f>
        <v>0</v>
      </c>
      <c r="BJ376" s="65">
        <f>H376*I376</f>
        <v>22540</v>
      </c>
      <c r="BK376" s="65" t="s">
        <v>1642</v>
      </c>
      <c r="BL376" s="35">
        <v>732</v>
      </c>
    </row>
    <row r="377" spans="1:64">
      <c r="A377" s="19"/>
      <c r="C377" s="59" t="s">
        <v>730</v>
      </c>
      <c r="D377" s="167" t="s">
        <v>1381</v>
      </c>
      <c r="E377" s="168"/>
      <c r="F377" s="168"/>
      <c r="G377" s="168"/>
      <c r="H377" s="168"/>
      <c r="I377" s="168"/>
      <c r="J377" s="168"/>
      <c r="K377" s="168"/>
      <c r="L377" s="168"/>
      <c r="M377" s="169"/>
      <c r="N377" s="19"/>
    </row>
    <row r="378" spans="1:64">
      <c r="A378" s="47" t="s">
        <v>437</v>
      </c>
      <c r="B378" s="55" t="s">
        <v>64</v>
      </c>
      <c r="C378" s="55" t="s">
        <v>939</v>
      </c>
      <c r="D378" s="165" t="s">
        <v>1382</v>
      </c>
      <c r="E378" s="166"/>
      <c r="F378" s="166"/>
      <c r="G378" s="55" t="s">
        <v>1644</v>
      </c>
      <c r="H378" s="64">
        <v>170.8</v>
      </c>
      <c r="I378" s="64">
        <v>1.8</v>
      </c>
      <c r="J378" s="64">
        <f>H378*AO378</f>
        <v>0</v>
      </c>
      <c r="K378" s="64">
        <f>H378*AP378</f>
        <v>307.44000000000005</v>
      </c>
      <c r="L378" s="64">
        <f>H378*I378</f>
        <v>307.44000000000005</v>
      </c>
      <c r="M378" s="73" t="s">
        <v>1660</v>
      </c>
      <c r="N378" s="19"/>
      <c r="Z378" s="35">
        <f>IF(AQ378="5",BJ378,0)</f>
        <v>0</v>
      </c>
      <c r="AB378" s="35">
        <f>IF(AQ378="1",BH378,0)</f>
        <v>0</v>
      </c>
      <c r="AC378" s="35">
        <f>IF(AQ378="1",BI378,0)</f>
        <v>0</v>
      </c>
      <c r="AD378" s="35">
        <f>IF(AQ378="7",BH378,0)</f>
        <v>0</v>
      </c>
      <c r="AE378" s="35">
        <f>IF(AQ378="7",BI378,0)</f>
        <v>307.44000000000005</v>
      </c>
      <c r="AF378" s="35">
        <f>IF(AQ378="2",BH378,0)</f>
        <v>0</v>
      </c>
      <c r="AG378" s="35">
        <f>IF(AQ378="2",BI378,0)</f>
        <v>0</v>
      </c>
      <c r="AH378" s="35">
        <f>IF(AQ378="0",BJ378,0)</f>
        <v>0</v>
      </c>
      <c r="AI378" s="77" t="s">
        <v>64</v>
      </c>
      <c r="AJ378" s="64">
        <f>IF(AN378=0,L378,0)</f>
        <v>0</v>
      </c>
      <c r="AK378" s="64">
        <f>IF(AN378=15,L378,0)</f>
        <v>0</v>
      </c>
      <c r="AL378" s="64">
        <f>IF(AN378=21,L378,0)</f>
        <v>307.44000000000005</v>
      </c>
      <c r="AN378" s="35">
        <v>21</v>
      </c>
      <c r="AO378" s="35">
        <f>I378*0</f>
        <v>0</v>
      </c>
      <c r="AP378" s="35">
        <f>I378*(1-0)</f>
        <v>1.8</v>
      </c>
      <c r="AQ378" s="78" t="s">
        <v>235</v>
      </c>
      <c r="AV378" s="35">
        <f>AW378+AX378</f>
        <v>307.44000000000005</v>
      </c>
      <c r="AW378" s="35">
        <f>H378*AO378</f>
        <v>0</v>
      </c>
      <c r="AX378" s="35">
        <f>H378*AP378</f>
        <v>307.44000000000005</v>
      </c>
      <c r="AY378" s="80" t="s">
        <v>1694</v>
      </c>
      <c r="AZ378" s="80" t="s">
        <v>1744</v>
      </c>
      <c r="BA378" s="77" t="s">
        <v>1777</v>
      </c>
      <c r="BC378" s="35">
        <f>AW378+AX378</f>
        <v>307.44000000000005</v>
      </c>
      <c r="BD378" s="35">
        <f>I378/(100-BE378)*100</f>
        <v>1.8000000000000003</v>
      </c>
      <c r="BE378" s="35">
        <v>0</v>
      </c>
      <c r="BF378" s="35">
        <f>378</f>
        <v>378</v>
      </c>
      <c r="BH378" s="64">
        <f>H378*AO378</f>
        <v>0</v>
      </c>
      <c r="BI378" s="64">
        <f>H378*AP378</f>
        <v>307.44000000000005</v>
      </c>
      <c r="BJ378" s="64">
        <f>H378*I378</f>
        <v>307.44000000000005</v>
      </c>
      <c r="BK378" s="64" t="s">
        <v>1790</v>
      </c>
      <c r="BL378" s="35">
        <v>732</v>
      </c>
    </row>
    <row r="379" spans="1:64">
      <c r="A379" s="19"/>
      <c r="C379" s="59" t="s">
        <v>730</v>
      </c>
      <c r="D379" s="167" t="s">
        <v>1383</v>
      </c>
      <c r="E379" s="168"/>
      <c r="F379" s="168"/>
      <c r="G379" s="168"/>
      <c r="H379" s="168"/>
      <c r="I379" s="168"/>
      <c r="J379" s="168"/>
      <c r="K379" s="168"/>
      <c r="L379" s="168"/>
      <c r="M379" s="169"/>
      <c r="N379" s="19"/>
    </row>
    <row r="380" spans="1:64">
      <c r="A380" s="46"/>
      <c r="B380" s="54" t="s">
        <v>64</v>
      </c>
      <c r="C380" s="54" t="s">
        <v>156</v>
      </c>
      <c r="D380" s="163" t="s">
        <v>207</v>
      </c>
      <c r="E380" s="164"/>
      <c r="F380" s="164"/>
      <c r="G380" s="61" t="s">
        <v>57</v>
      </c>
      <c r="H380" s="61" t="s">
        <v>57</v>
      </c>
      <c r="I380" s="61" t="s">
        <v>57</v>
      </c>
      <c r="J380" s="83">
        <f>SUM(J381:J393)</f>
        <v>0</v>
      </c>
      <c r="K380" s="83">
        <f>SUM(K381:K393)</f>
        <v>7604.2371000000003</v>
      </c>
      <c r="L380" s="83">
        <f>SUM(L381:L393)</f>
        <v>7604.2371000000003</v>
      </c>
      <c r="M380" s="72"/>
      <c r="N380" s="19"/>
      <c r="AI380" s="77" t="s">
        <v>64</v>
      </c>
      <c r="AS380" s="83">
        <f>SUM(AJ381:AJ393)</f>
        <v>0</v>
      </c>
      <c r="AT380" s="83">
        <f>SUM(AK381:AK393)</f>
        <v>0</v>
      </c>
      <c r="AU380" s="83">
        <f>SUM(AL381:AL393)</f>
        <v>7604.2371000000003</v>
      </c>
    </row>
    <row r="381" spans="1:64">
      <c r="A381" s="47" t="s">
        <v>438</v>
      </c>
      <c r="B381" s="55" t="s">
        <v>64</v>
      </c>
      <c r="C381" s="55" t="s">
        <v>940</v>
      </c>
      <c r="D381" s="165" t="s">
        <v>1384</v>
      </c>
      <c r="E381" s="166"/>
      <c r="F381" s="166"/>
      <c r="G381" s="55" t="s">
        <v>1642</v>
      </c>
      <c r="H381" s="64">
        <v>1</v>
      </c>
      <c r="I381" s="64">
        <v>471</v>
      </c>
      <c r="J381" s="64">
        <f>H381*AO381</f>
        <v>0</v>
      </c>
      <c r="K381" s="64">
        <f>H381*AP381</f>
        <v>471</v>
      </c>
      <c r="L381" s="64">
        <f>H381*I381</f>
        <v>471</v>
      </c>
      <c r="M381" s="73" t="s">
        <v>1660</v>
      </c>
      <c r="N381" s="19"/>
      <c r="Z381" s="35">
        <f>IF(AQ381="5",BJ381,0)</f>
        <v>0</v>
      </c>
      <c r="AB381" s="35">
        <f>IF(AQ381="1",BH381,0)</f>
        <v>0</v>
      </c>
      <c r="AC381" s="35">
        <f>IF(AQ381="1",BI381,0)</f>
        <v>0</v>
      </c>
      <c r="AD381" s="35">
        <f>IF(AQ381="7",BH381,0)</f>
        <v>0</v>
      </c>
      <c r="AE381" s="35">
        <f>IF(AQ381="7",BI381,0)</f>
        <v>471</v>
      </c>
      <c r="AF381" s="35">
        <f>IF(AQ381="2",BH381,0)</f>
        <v>0</v>
      </c>
      <c r="AG381" s="35">
        <f>IF(AQ381="2",BI381,0)</f>
        <v>0</v>
      </c>
      <c r="AH381" s="35">
        <f>IF(AQ381="0",BJ381,0)</f>
        <v>0</v>
      </c>
      <c r="AI381" s="77" t="s">
        <v>64</v>
      </c>
      <c r="AJ381" s="64">
        <f>IF(AN381=0,L381,0)</f>
        <v>0</v>
      </c>
      <c r="AK381" s="64">
        <f>IF(AN381=15,L381,0)</f>
        <v>0</v>
      </c>
      <c r="AL381" s="64">
        <f>IF(AN381=21,L381,0)</f>
        <v>471</v>
      </c>
      <c r="AN381" s="35">
        <v>21</v>
      </c>
      <c r="AO381" s="35">
        <f>I381*0</f>
        <v>0</v>
      </c>
      <c r="AP381" s="35">
        <f>I381*(1-0)</f>
        <v>471</v>
      </c>
      <c r="AQ381" s="78" t="s">
        <v>235</v>
      </c>
      <c r="AV381" s="35">
        <f>AW381+AX381</f>
        <v>471</v>
      </c>
      <c r="AW381" s="35">
        <f>H381*AO381</f>
        <v>0</v>
      </c>
      <c r="AX381" s="35">
        <f>H381*AP381</f>
        <v>471</v>
      </c>
      <c r="AY381" s="80" t="s">
        <v>1695</v>
      </c>
      <c r="AZ381" s="80" t="s">
        <v>1744</v>
      </c>
      <c r="BA381" s="77" t="s">
        <v>1777</v>
      </c>
      <c r="BC381" s="35">
        <f>AW381+AX381</f>
        <v>471</v>
      </c>
      <c r="BD381" s="35">
        <f>I381/(100-BE381)*100</f>
        <v>471</v>
      </c>
      <c r="BE381" s="35">
        <v>0</v>
      </c>
      <c r="BF381" s="35">
        <f>381</f>
        <v>381</v>
      </c>
      <c r="BH381" s="64">
        <f>H381*AO381</f>
        <v>0</v>
      </c>
      <c r="BI381" s="64">
        <f>H381*AP381</f>
        <v>471</v>
      </c>
      <c r="BJ381" s="64">
        <f>H381*I381</f>
        <v>471</v>
      </c>
      <c r="BK381" s="64" t="s">
        <v>1790</v>
      </c>
      <c r="BL381" s="35">
        <v>733</v>
      </c>
    </row>
    <row r="382" spans="1:64">
      <c r="A382" s="19"/>
      <c r="C382" s="59" t="s">
        <v>730</v>
      </c>
      <c r="D382" s="167" t="s">
        <v>1385</v>
      </c>
      <c r="E382" s="168"/>
      <c r="F382" s="168"/>
      <c r="G382" s="168"/>
      <c r="H382" s="168"/>
      <c r="I382" s="168"/>
      <c r="J382" s="168"/>
      <c r="K382" s="168"/>
      <c r="L382" s="168"/>
      <c r="M382" s="169"/>
      <c r="N382" s="19"/>
    </row>
    <row r="383" spans="1:64">
      <c r="A383" s="47" t="s">
        <v>439</v>
      </c>
      <c r="B383" s="55" t="s">
        <v>64</v>
      </c>
      <c r="C383" s="55" t="s">
        <v>941</v>
      </c>
      <c r="D383" s="165" t="s">
        <v>1386</v>
      </c>
      <c r="E383" s="166"/>
      <c r="F383" s="166"/>
      <c r="G383" s="55" t="s">
        <v>1642</v>
      </c>
      <c r="H383" s="64">
        <v>4</v>
      </c>
      <c r="I383" s="64">
        <v>723</v>
      </c>
      <c r="J383" s="64">
        <f>H383*AO383</f>
        <v>0</v>
      </c>
      <c r="K383" s="64">
        <f>H383*AP383</f>
        <v>2892</v>
      </c>
      <c r="L383" s="64">
        <f>H383*I383</f>
        <v>2892</v>
      </c>
      <c r="M383" s="73" t="s">
        <v>1660</v>
      </c>
      <c r="N383" s="19"/>
      <c r="Z383" s="35">
        <f>IF(AQ383="5",BJ383,0)</f>
        <v>0</v>
      </c>
      <c r="AB383" s="35">
        <f>IF(AQ383="1",BH383,0)</f>
        <v>0</v>
      </c>
      <c r="AC383" s="35">
        <f>IF(AQ383="1",BI383,0)</f>
        <v>0</v>
      </c>
      <c r="AD383" s="35">
        <f>IF(AQ383="7",BH383,0)</f>
        <v>0</v>
      </c>
      <c r="AE383" s="35">
        <f>IF(AQ383="7",BI383,0)</f>
        <v>2892</v>
      </c>
      <c r="AF383" s="35">
        <f>IF(AQ383="2",BH383,0)</f>
        <v>0</v>
      </c>
      <c r="AG383" s="35">
        <f>IF(AQ383="2",BI383,0)</f>
        <v>0</v>
      </c>
      <c r="AH383" s="35">
        <f>IF(AQ383="0",BJ383,0)</f>
        <v>0</v>
      </c>
      <c r="AI383" s="77" t="s">
        <v>64</v>
      </c>
      <c r="AJ383" s="64">
        <f>IF(AN383=0,L383,0)</f>
        <v>0</v>
      </c>
      <c r="AK383" s="64">
        <f>IF(AN383=15,L383,0)</f>
        <v>0</v>
      </c>
      <c r="AL383" s="64">
        <f>IF(AN383=21,L383,0)</f>
        <v>2892</v>
      </c>
      <c r="AN383" s="35">
        <v>21</v>
      </c>
      <c r="AO383" s="35">
        <f>I383*0</f>
        <v>0</v>
      </c>
      <c r="AP383" s="35">
        <f>I383*(1-0)</f>
        <v>723</v>
      </c>
      <c r="AQ383" s="78" t="s">
        <v>235</v>
      </c>
      <c r="AV383" s="35">
        <f>AW383+AX383</f>
        <v>2892</v>
      </c>
      <c r="AW383" s="35">
        <f>H383*AO383</f>
        <v>0</v>
      </c>
      <c r="AX383" s="35">
        <f>H383*AP383</f>
        <v>2892</v>
      </c>
      <c r="AY383" s="80" t="s">
        <v>1695</v>
      </c>
      <c r="AZ383" s="80" t="s">
        <v>1744</v>
      </c>
      <c r="BA383" s="77" t="s">
        <v>1777</v>
      </c>
      <c r="BC383" s="35">
        <f>AW383+AX383</f>
        <v>2892</v>
      </c>
      <c r="BD383" s="35">
        <f>I383/(100-BE383)*100</f>
        <v>723</v>
      </c>
      <c r="BE383" s="35">
        <v>0</v>
      </c>
      <c r="BF383" s="35">
        <f>383</f>
        <v>383</v>
      </c>
      <c r="BH383" s="64">
        <f>H383*AO383</f>
        <v>0</v>
      </c>
      <c r="BI383" s="64">
        <f>H383*AP383</f>
        <v>2892</v>
      </c>
      <c r="BJ383" s="64">
        <f>H383*I383</f>
        <v>2892</v>
      </c>
      <c r="BK383" s="64" t="s">
        <v>1790</v>
      </c>
      <c r="BL383" s="35">
        <v>733</v>
      </c>
    </row>
    <row r="384" spans="1:64">
      <c r="A384" s="19"/>
      <c r="C384" s="59" t="s">
        <v>730</v>
      </c>
      <c r="D384" s="167" t="s">
        <v>1387</v>
      </c>
      <c r="E384" s="168"/>
      <c r="F384" s="168"/>
      <c r="G384" s="168"/>
      <c r="H384" s="168"/>
      <c r="I384" s="168"/>
      <c r="J384" s="168"/>
      <c r="K384" s="168"/>
      <c r="L384" s="168"/>
      <c r="M384" s="169"/>
      <c r="N384" s="19"/>
    </row>
    <row r="385" spans="1:64">
      <c r="A385" s="47" t="s">
        <v>440</v>
      </c>
      <c r="B385" s="55" t="s">
        <v>64</v>
      </c>
      <c r="C385" s="55" t="s">
        <v>942</v>
      </c>
      <c r="D385" s="165" t="s">
        <v>1388</v>
      </c>
      <c r="E385" s="166"/>
      <c r="F385" s="166"/>
      <c r="G385" s="55" t="s">
        <v>1641</v>
      </c>
      <c r="H385" s="64">
        <v>4</v>
      </c>
      <c r="I385" s="64">
        <v>411</v>
      </c>
      <c r="J385" s="64">
        <f>H385*AO385</f>
        <v>0</v>
      </c>
      <c r="K385" s="64">
        <f>H385*AP385</f>
        <v>1644</v>
      </c>
      <c r="L385" s="64">
        <f>H385*I385</f>
        <v>1644</v>
      </c>
      <c r="M385" s="73"/>
      <c r="N385" s="19"/>
      <c r="Z385" s="35">
        <f>IF(AQ385="5",BJ385,0)</f>
        <v>0</v>
      </c>
      <c r="AB385" s="35">
        <f>IF(AQ385="1",BH385,0)</f>
        <v>0</v>
      </c>
      <c r="AC385" s="35">
        <f>IF(AQ385="1",BI385,0)</f>
        <v>0</v>
      </c>
      <c r="AD385" s="35">
        <f>IF(AQ385="7",BH385,0)</f>
        <v>0</v>
      </c>
      <c r="AE385" s="35">
        <f>IF(AQ385="7",BI385,0)</f>
        <v>1644</v>
      </c>
      <c r="AF385" s="35">
        <f>IF(AQ385="2",BH385,0)</f>
        <v>0</v>
      </c>
      <c r="AG385" s="35">
        <f>IF(AQ385="2",BI385,0)</f>
        <v>0</v>
      </c>
      <c r="AH385" s="35">
        <f>IF(AQ385="0",BJ385,0)</f>
        <v>0</v>
      </c>
      <c r="AI385" s="77" t="s">
        <v>64</v>
      </c>
      <c r="AJ385" s="64">
        <f>IF(AN385=0,L385,0)</f>
        <v>0</v>
      </c>
      <c r="AK385" s="64">
        <f>IF(AN385=15,L385,0)</f>
        <v>0</v>
      </c>
      <c r="AL385" s="64">
        <f>IF(AN385=21,L385,0)</f>
        <v>1644</v>
      </c>
      <c r="AN385" s="35">
        <v>21</v>
      </c>
      <c r="AO385" s="35">
        <f>I385*0</f>
        <v>0</v>
      </c>
      <c r="AP385" s="35">
        <f>I385*(1-0)</f>
        <v>411</v>
      </c>
      <c r="AQ385" s="78" t="s">
        <v>235</v>
      </c>
      <c r="AV385" s="35">
        <f>AW385+AX385</f>
        <v>1644</v>
      </c>
      <c r="AW385" s="35">
        <f>H385*AO385</f>
        <v>0</v>
      </c>
      <c r="AX385" s="35">
        <f>H385*AP385</f>
        <v>1644</v>
      </c>
      <c r="AY385" s="80" t="s">
        <v>1695</v>
      </c>
      <c r="AZ385" s="80" t="s">
        <v>1744</v>
      </c>
      <c r="BA385" s="77" t="s">
        <v>1777</v>
      </c>
      <c r="BC385" s="35">
        <f>AW385+AX385</f>
        <v>1644</v>
      </c>
      <c r="BD385" s="35">
        <f>I385/(100-BE385)*100</f>
        <v>411.00000000000006</v>
      </c>
      <c r="BE385" s="35">
        <v>0</v>
      </c>
      <c r="BF385" s="35">
        <f>385</f>
        <v>385</v>
      </c>
      <c r="BH385" s="64">
        <f>H385*AO385</f>
        <v>0</v>
      </c>
      <c r="BI385" s="64">
        <f>H385*AP385</f>
        <v>1644</v>
      </c>
      <c r="BJ385" s="64">
        <f>H385*I385</f>
        <v>1644</v>
      </c>
      <c r="BK385" s="64" t="s">
        <v>1790</v>
      </c>
      <c r="BL385" s="35">
        <v>733</v>
      </c>
    </row>
    <row r="386" spans="1:64">
      <c r="A386" s="19"/>
      <c r="C386" s="59" t="s">
        <v>730</v>
      </c>
      <c r="D386" s="167" t="s">
        <v>1388</v>
      </c>
      <c r="E386" s="168"/>
      <c r="F386" s="168"/>
      <c r="G386" s="168"/>
      <c r="H386" s="168"/>
      <c r="I386" s="168"/>
      <c r="J386" s="168"/>
      <c r="K386" s="168"/>
      <c r="L386" s="168"/>
      <c r="M386" s="169"/>
      <c r="N386" s="19"/>
    </row>
    <row r="387" spans="1:64">
      <c r="A387" s="47" t="s">
        <v>441</v>
      </c>
      <c r="B387" s="55" t="s">
        <v>64</v>
      </c>
      <c r="C387" s="55" t="s">
        <v>943</v>
      </c>
      <c r="D387" s="165" t="s">
        <v>1389</v>
      </c>
      <c r="E387" s="166"/>
      <c r="F387" s="166"/>
      <c r="G387" s="55" t="s">
        <v>1641</v>
      </c>
      <c r="H387" s="64">
        <v>2</v>
      </c>
      <c r="I387" s="64">
        <v>535</v>
      </c>
      <c r="J387" s="64">
        <f>H387*AO387</f>
        <v>0</v>
      </c>
      <c r="K387" s="64">
        <f>H387*AP387</f>
        <v>1070</v>
      </c>
      <c r="L387" s="64">
        <f>H387*I387</f>
        <v>1070</v>
      </c>
      <c r="M387" s="73"/>
      <c r="N387" s="19"/>
      <c r="Z387" s="35">
        <f>IF(AQ387="5",BJ387,0)</f>
        <v>0</v>
      </c>
      <c r="AB387" s="35">
        <f>IF(AQ387="1",BH387,0)</f>
        <v>0</v>
      </c>
      <c r="AC387" s="35">
        <f>IF(AQ387="1",BI387,0)</f>
        <v>0</v>
      </c>
      <c r="AD387" s="35">
        <f>IF(AQ387="7",BH387,0)</f>
        <v>0</v>
      </c>
      <c r="AE387" s="35">
        <f>IF(AQ387="7",BI387,0)</f>
        <v>1070</v>
      </c>
      <c r="AF387" s="35">
        <f>IF(AQ387="2",BH387,0)</f>
        <v>0</v>
      </c>
      <c r="AG387" s="35">
        <f>IF(AQ387="2",BI387,0)</f>
        <v>0</v>
      </c>
      <c r="AH387" s="35">
        <f>IF(AQ387="0",BJ387,0)</f>
        <v>0</v>
      </c>
      <c r="AI387" s="77" t="s">
        <v>64</v>
      </c>
      <c r="AJ387" s="64">
        <f>IF(AN387=0,L387,0)</f>
        <v>0</v>
      </c>
      <c r="AK387" s="64">
        <f>IF(AN387=15,L387,0)</f>
        <v>0</v>
      </c>
      <c r="AL387" s="64">
        <f>IF(AN387=21,L387,0)</f>
        <v>1070</v>
      </c>
      <c r="AN387" s="35">
        <v>21</v>
      </c>
      <c r="AO387" s="35">
        <f>I387*0</f>
        <v>0</v>
      </c>
      <c r="AP387" s="35">
        <f>I387*(1-0)</f>
        <v>535</v>
      </c>
      <c r="AQ387" s="78" t="s">
        <v>235</v>
      </c>
      <c r="AV387" s="35">
        <f>AW387+AX387</f>
        <v>1070</v>
      </c>
      <c r="AW387" s="35">
        <f>H387*AO387</f>
        <v>0</v>
      </c>
      <c r="AX387" s="35">
        <f>H387*AP387</f>
        <v>1070</v>
      </c>
      <c r="AY387" s="80" t="s">
        <v>1695</v>
      </c>
      <c r="AZ387" s="80" t="s">
        <v>1744</v>
      </c>
      <c r="BA387" s="77" t="s">
        <v>1777</v>
      </c>
      <c r="BC387" s="35">
        <f>AW387+AX387</f>
        <v>1070</v>
      </c>
      <c r="BD387" s="35">
        <f>I387/(100-BE387)*100</f>
        <v>535</v>
      </c>
      <c r="BE387" s="35">
        <v>0</v>
      </c>
      <c r="BF387" s="35">
        <f>387</f>
        <v>387</v>
      </c>
      <c r="BH387" s="64">
        <f>H387*AO387</f>
        <v>0</v>
      </c>
      <c r="BI387" s="64">
        <f>H387*AP387</f>
        <v>1070</v>
      </c>
      <c r="BJ387" s="64">
        <f>H387*I387</f>
        <v>1070</v>
      </c>
      <c r="BK387" s="64" t="s">
        <v>1790</v>
      </c>
      <c r="BL387" s="35">
        <v>733</v>
      </c>
    </row>
    <row r="388" spans="1:64">
      <c r="A388" s="19"/>
      <c r="C388" s="59" t="s">
        <v>730</v>
      </c>
      <c r="D388" s="167" t="s">
        <v>1389</v>
      </c>
      <c r="E388" s="168"/>
      <c r="F388" s="168"/>
      <c r="G388" s="168"/>
      <c r="H388" s="168"/>
      <c r="I388" s="168"/>
      <c r="J388" s="168"/>
      <c r="K388" s="168"/>
      <c r="L388" s="168"/>
      <c r="M388" s="169"/>
      <c r="N388" s="19"/>
    </row>
    <row r="389" spans="1:64">
      <c r="A389" s="47" t="s">
        <v>442</v>
      </c>
      <c r="B389" s="55" t="s">
        <v>64</v>
      </c>
      <c r="C389" s="55" t="s">
        <v>909</v>
      </c>
      <c r="D389" s="165" t="s">
        <v>1332</v>
      </c>
      <c r="E389" s="166"/>
      <c r="F389" s="166"/>
      <c r="G389" s="55" t="s">
        <v>1642</v>
      </c>
      <c r="H389" s="64">
        <v>5</v>
      </c>
      <c r="I389" s="64">
        <v>7.27</v>
      </c>
      <c r="J389" s="64">
        <f>H389*AO389</f>
        <v>0</v>
      </c>
      <c r="K389" s="64">
        <f>H389*AP389</f>
        <v>36.349999999999994</v>
      </c>
      <c r="L389" s="64">
        <f>H389*I389</f>
        <v>36.349999999999994</v>
      </c>
      <c r="M389" s="73" t="s">
        <v>1660</v>
      </c>
      <c r="N389" s="19"/>
      <c r="Z389" s="35">
        <f>IF(AQ389="5",BJ389,0)</f>
        <v>0</v>
      </c>
      <c r="AB389" s="35">
        <f>IF(AQ389="1",BH389,0)</f>
        <v>0</v>
      </c>
      <c r="AC389" s="35">
        <f>IF(AQ389="1",BI389,0)</f>
        <v>0</v>
      </c>
      <c r="AD389" s="35">
        <f>IF(AQ389="7",BH389,0)</f>
        <v>0</v>
      </c>
      <c r="AE389" s="35">
        <f>IF(AQ389="7",BI389,0)</f>
        <v>36.349999999999994</v>
      </c>
      <c r="AF389" s="35">
        <f>IF(AQ389="2",BH389,0)</f>
        <v>0</v>
      </c>
      <c r="AG389" s="35">
        <f>IF(AQ389="2",BI389,0)</f>
        <v>0</v>
      </c>
      <c r="AH389" s="35">
        <f>IF(AQ389="0",BJ389,0)</f>
        <v>0</v>
      </c>
      <c r="AI389" s="77" t="s">
        <v>64</v>
      </c>
      <c r="AJ389" s="64">
        <f>IF(AN389=0,L389,0)</f>
        <v>0</v>
      </c>
      <c r="AK389" s="64">
        <f>IF(AN389=15,L389,0)</f>
        <v>0</v>
      </c>
      <c r="AL389" s="64">
        <f>IF(AN389=21,L389,0)</f>
        <v>36.349999999999994</v>
      </c>
      <c r="AN389" s="35">
        <v>21</v>
      </c>
      <c r="AO389" s="35">
        <f>I389*0</f>
        <v>0</v>
      </c>
      <c r="AP389" s="35">
        <f>I389*(1-0)</f>
        <v>7.27</v>
      </c>
      <c r="AQ389" s="78" t="s">
        <v>235</v>
      </c>
      <c r="AV389" s="35">
        <f>AW389+AX389</f>
        <v>36.349999999999994</v>
      </c>
      <c r="AW389" s="35">
        <f>H389*AO389</f>
        <v>0</v>
      </c>
      <c r="AX389" s="35">
        <f>H389*AP389</f>
        <v>36.349999999999994</v>
      </c>
      <c r="AY389" s="80" t="s">
        <v>1695</v>
      </c>
      <c r="AZ389" s="80" t="s">
        <v>1744</v>
      </c>
      <c r="BA389" s="77" t="s">
        <v>1777</v>
      </c>
      <c r="BC389" s="35">
        <f>AW389+AX389</f>
        <v>36.349999999999994</v>
      </c>
      <c r="BD389" s="35">
        <f>I389/(100-BE389)*100</f>
        <v>7.2700000000000005</v>
      </c>
      <c r="BE389" s="35">
        <v>0</v>
      </c>
      <c r="BF389" s="35">
        <f>389</f>
        <v>389</v>
      </c>
      <c r="BH389" s="64">
        <f>H389*AO389</f>
        <v>0</v>
      </c>
      <c r="BI389" s="64">
        <f>H389*AP389</f>
        <v>36.349999999999994</v>
      </c>
      <c r="BJ389" s="64">
        <f>H389*I389</f>
        <v>36.349999999999994</v>
      </c>
      <c r="BK389" s="64" t="s">
        <v>1790</v>
      </c>
      <c r="BL389" s="35">
        <v>733</v>
      </c>
    </row>
    <row r="390" spans="1:64">
      <c r="A390" s="19"/>
      <c r="C390" s="59" t="s">
        <v>730</v>
      </c>
      <c r="D390" s="167" t="s">
        <v>1390</v>
      </c>
      <c r="E390" s="168"/>
      <c r="F390" s="168"/>
      <c r="G390" s="168"/>
      <c r="H390" s="168"/>
      <c r="I390" s="168"/>
      <c r="J390" s="168"/>
      <c r="K390" s="168"/>
      <c r="L390" s="168"/>
      <c r="M390" s="169"/>
      <c r="N390" s="19"/>
    </row>
    <row r="391" spans="1:64">
      <c r="A391" s="47" t="s">
        <v>443</v>
      </c>
      <c r="B391" s="55" t="s">
        <v>64</v>
      </c>
      <c r="C391" s="55" t="s">
        <v>944</v>
      </c>
      <c r="D391" s="165" t="s">
        <v>1391</v>
      </c>
      <c r="E391" s="166"/>
      <c r="F391" s="166"/>
      <c r="G391" s="55" t="s">
        <v>1641</v>
      </c>
      <c r="H391" s="64">
        <v>4</v>
      </c>
      <c r="I391" s="64">
        <v>305</v>
      </c>
      <c r="J391" s="64">
        <f>H391*AO391</f>
        <v>0</v>
      </c>
      <c r="K391" s="64">
        <f>H391*AP391</f>
        <v>1220</v>
      </c>
      <c r="L391" s="64">
        <f>H391*I391</f>
        <v>1220</v>
      </c>
      <c r="M391" s="73"/>
      <c r="N391" s="19"/>
      <c r="Z391" s="35">
        <f>IF(AQ391="5",BJ391,0)</f>
        <v>0</v>
      </c>
      <c r="AB391" s="35">
        <f>IF(AQ391="1",BH391,0)</f>
        <v>0</v>
      </c>
      <c r="AC391" s="35">
        <f>IF(AQ391="1",BI391,0)</f>
        <v>0</v>
      </c>
      <c r="AD391" s="35">
        <f>IF(AQ391="7",BH391,0)</f>
        <v>0</v>
      </c>
      <c r="AE391" s="35">
        <f>IF(AQ391="7",BI391,0)</f>
        <v>1220</v>
      </c>
      <c r="AF391" s="35">
        <f>IF(AQ391="2",BH391,0)</f>
        <v>0</v>
      </c>
      <c r="AG391" s="35">
        <f>IF(AQ391="2",BI391,0)</f>
        <v>0</v>
      </c>
      <c r="AH391" s="35">
        <f>IF(AQ391="0",BJ391,0)</f>
        <v>0</v>
      </c>
      <c r="AI391" s="77" t="s">
        <v>64</v>
      </c>
      <c r="AJ391" s="64">
        <f>IF(AN391=0,L391,0)</f>
        <v>0</v>
      </c>
      <c r="AK391" s="64">
        <f>IF(AN391=15,L391,0)</f>
        <v>0</v>
      </c>
      <c r="AL391" s="64">
        <f>IF(AN391=21,L391,0)</f>
        <v>1220</v>
      </c>
      <c r="AN391" s="35">
        <v>21</v>
      </c>
      <c r="AO391" s="35">
        <f>I391*0</f>
        <v>0</v>
      </c>
      <c r="AP391" s="35">
        <f>I391*(1-0)</f>
        <v>305</v>
      </c>
      <c r="AQ391" s="78" t="s">
        <v>235</v>
      </c>
      <c r="AV391" s="35">
        <f>AW391+AX391</f>
        <v>1220</v>
      </c>
      <c r="AW391" s="35">
        <f>H391*AO391</f>
        <v>0</v>
      </c>
      <c r="AX391" s="35">
        <f>H391*AP391</f>
        <v>1220</v>
      </c>
      <c r="AY391" s="80" t="s">
        <v>1695</v>
      </c>
      <c r="AZ391" s="80" t="s">
        <v>1744</v>
      </c>
      <c r="BA391" s="77" t="s">
        <v>1777</v>
      </c>
      <c r="BC391" s="35">
        <f>AW391+AX391</f>
        <v>1220</v>
      </c>
      <c r="BD391" s="35">
        <f>I391/(100-BE391)*100</f>
        <v>305</v>
      </c>
      <c r="BE391" s="35">
        <v>0</v>
      </c>
      <c r="BF391" s="35">
        <f>391</f>
        <v>391</v>
      </c>
      <c r="BH391" s="64">
        <f>H391*AO391</f>
        <v>0</v>
      </c>
      <c r="BI391" s="64">
        <f>H391*AP391</f>
        <v>1220</v>
      </c>
      <c r="BJ391" s="64">
        <f>H391*I391</f>
        <v>1220</v>
      </c>
      <c r="BK391" s="64" t="s">
        <v>1790</v>
      </c>
      <c r="BL391" s="35">
        <v>733</v>
      </c>
    </row>
    <row r="392" spans="1:64">
      <c r="A392" s="19"/>
      <c r="C392" s="59" t="s">
        <v>730</v>
      </c>
      <c r="D392" s="167" t="s">
        <v>1391</v>
      </c>
      <c r="E392" s="168"/>
      <c r="F392" s="168"/>
      <c r="G392" s="168"/>
      <c r="H392" s="168"/>
      <c r="I392" s="168"/>
      <c r="J392" s="168"/>
      <c r="K392" s="168"/>
      <c r="L392" s="168"/>
      <c r="M392" s="169"/>
      <c r="N392" s="19"/>
    </row>
    <row r="393" spans="1:64">
      <c r="A393" s="47" t="s">
        <v>444</v>
      </c>
      <c r="B393" s="55" t="s">
        <v>64</v>
      </c>
      <c r="C393" s="55" t="s">
        <v>912</v>
      </c>
      <c r="D393" s="165" t="s">
        <v>1335</v>
      </c>
      <c r="E393" s="166"/>
      <c r="F393" s="166"/>
      <c r="G393" s="55" t="s">
        <v>1644</v>
      </c>
      <c r="H393" s="64">
        <v>82.087000000000003</v>
      </c>
      <c r="I393" s="64">
        <v>3.3</v>
      </c>
      <c r="J393" s="64">
        <f>H393*AO393</f>
        <v>0</v>
      </c>
      <c r="K393" s="64">
        <f>H393*AP393</f>
        <v>270.88709999999998</v>
      </c>
      <c r="L393" s="64">
        <f>H393*I393</f>
        <v>270.88709999999998</v>
      </c>
      <c r="M393" s="73" t="s">
        <v>1660</v>
      </c>
      <c r="N393" s="19"/>
      <c r="Z393" s="35">
        <f>IF(AQ393="5",BJ393,0)</f>
        <v>0</v>
      </c>
      <c r="AB393" s="35">
        <f>IF(AQ393="1",BH393,0)</f>
        <v>0</v>
      </c>
      <c r="AC393" s="35">
        <f>IF(AQ393="1",BI393,0)</f>
        <v>0</v>
      </c>
      <c r="AD393" s="35">
        <f>IF(AQ393="7",BH393,0)</f>
        <v>0</v>
      </c>
      <c r="AE393" s="35">
        <f>IF(AQ393="7",BI393,0)</f>
        <v>270.88709999999998</v>
      </c>
      <c r="AF393" s="35">
        <f>IF(AQ393="2",BH393,0)</f>
        <v>0</v>
      </c>
      <c r="AG393" s="35">
        <f>IF(AQ393="2",BI393,0)</f>
        <v>0</v>
      </c>
      <c r="AH393" s="35">
        <f>IF(AQ393="0",BJ393,0)</f>
        <v>0</v>
      </c>
      <c r="AI393" s="77" t="s">
        <v>64</v>
      </c>
      <c r="AJ393" s="64">
        <f>IF(AN393=0,L393,0)</f>
        <v>0</v>
      </c>
      <c r="AK393" s="64">
        <f>IF(AN393=15,L393,0)</f>
        <v>0</v>
      </c>
      <c r="AL393" s="64">
        <f>IF(AN393=21,L393,0)</f>
        <v>270.88709999999998</v>
      </c>
      <c r="AN393" s="35">
        <v>21</v>
      </c>
      <c r="AO393" s="35">
        <f>I393*0</f>
        <v>0</v>
      </c>
      <c r="AP393" s="35">
        <f>I393*(1-0)</f>
        <v>3.3</v>
      </c>
      <c r="AQ393" s="78" t="s">
        <v>235</v>
      </c>
      <c r="AV393" s="35">
        <f>AW393+AX393</f>
        <v>270.88709999999998</v>
      </c>
      <c r="AW393" s="35">
        <f>H393*AO393</f>
        <v>0</v>
      </c>
      <c r="AX393" s="35">
        <f>H393*AP393</f>
        <v>270.88709999999998</v>
      </c>
      <c r="AY393" s="80" t="s">
        <v>1695</v>
      </c>
      <c r="AZ393" s="80" t="s">
        <v>1744</v>
      </c>
      <c r="BA393" s="77" t="s">
        <v>1777</v>
      </c>
      <c r="BC393" s="35">
        <f>AW393+AX393</f>
        <v>270.88709999999998</v>
      </c>
      <c r="BD393" s="35">
        <f>I393/(100-BE393)*100</f>
        <v>3.3000000000000003</v>
      </c>
      <c r="BE393" s="35">
        <v>0</v>
      </c>
      <c r="BF393" s="35">
        <f>393</f>
        <v>393</v>
      </c>
      <c r="BH393" s="64">
        <f>H393*AO393</f>
        <v>0</v>
      </c>
      <c r="BI393" s="64">
        <f>H393*AP393</f>
        <v>270.88709999999998</v>
      </c>
      <c r="BJ393" s="64">
        <f>H393*I393</f>
        <v>270.88709999999998</v>
      </c>
      <c r="BK393" s="64" t="s">
        <v>1790</v>
      </c>
      <c r="BL393" s="35">
        <v>733</v>
      </c>
    </row>
    <row r="394" spans="1:64">
      <c r="A394" s="19"/>
      <c r="C394" s="59" t="s">
        <v>730</v>
      </c>
      <c r="D394" s="167" t="s">
        <v>1336</v>
      </c>
      <c r="E394" s="168"/>
      <c r="F394" s="168"/>
      <c r="G394" s="168"/>
      <c r="H394" s="168"/>
      <c r="I394" s="168"/>
      <c r="J394" s="168"/>
      <c r="K394" s="168"/>
      <c r="L394" s="168"/>
      <c r="M394" s="169"/>
      <c r="N394" s="19"/>
    </row>
    <row r="395" spans="1:64">
      <c r="A395" s="46"/>
      <c r="B395" s="54" t="s">
        <v>64</v>
      </c>
      <c r="C395" s="54" t="s">
        <v>157</v>
      </c>
      <c r="D395" s="163" t="s">
        <v>208</v>
      </c>
      <c r="E395" s="164"/>
      <c r="F395" s="164"/>
      <c r="G395" s="61" t="s">
        <v>57</v>
      </c>
      <c r="H395" s="61" t="s">
        <v>57</v>
      </c>
      <c r="I395" s="61" t="s">
        <v>57</v>
      </c>
      <c r="J395" s="83">
        <f>SUM(J396:J420)</f>
        <v>20474.300000000003</v>
      </c>
      <c r="K395" s="83">
        <f>SUM(K396:K420)</f>
        <v>9172.8714</v>
      </c>
      <c r="L395" s="83">
        <f>SUM(L396:L420)</f>
        <v>29647.171399999999</v>
      </c>
      <c r="M395" s="72"/>
      <c r="N395" s="19"/>
      <c r="AI395" s="77" t="s">
        <v>64</v>
      </c>
      <c r="AS395" s="83">
        <f>SUM(AJ396:AJ420)</f>
        <v>0</v>
      </c>
      <c r="AT395" s="83">
        <f>SUM(AK396:AK420)</f>
        <v>0</v>
      </c>
      <c r="AU395" s="83">
        <f>SUM(AL396:AL420)</f>
        <v>29647.171399999999</v>
      </c>
    </row>
    <row r="396" spans="1:64">
      <c r="A396" s="47" t="s">
        <v>445</v>
      </c>
      <c r="B396" s="55" t="s">
        <v>64</v>
      </c>
      <c r="C396" s="55" t="s">
        <v>945</v>
      </c>
      <c r="D396" s="165" t="s">
        <v>1392</v>
      </c>
      <c r="E396" s="166"/>
      <c r="F396" s="166"/>
      <c r="G396" s="55" t="s">
        <v>1641</v>
      </c>
      <c r="H396" s="64">
        <v>1</v>
      </c>
      <c r="I396" s="64">
        <v>94.6</v>
      </c>
      <c r="J396" s="64">
        <f>H396*AO396</f>
        <v>0</v>
      </c>
      <c r="K396" s="64">
        <f>H396*AP396</f>
        <v>94.6</v>
      </c>
      <c r="L396" s="64">
        <f>H396*I396</f>
        <v>94.6</v>
      </c>
      <c r="M396" s="73"/>
      <c r="N396" s="19"/>
      <c r="Z396" s="35">
        <f>IF(AQ396="5",BJ396,0)</f>
        <v>0</v>
      </c>
      <c r="AB396" s="35">
        <f>IF(AQ396="1",BH396,0)</f>
        <v>0</v>
      </c>
      <c r="AC396" s="35">
        <f>IF(AQ396="1",BI396,0)</f>
        <v>0</v>
      </c>
      <c r="AD396" s="35">
        <f>IF(AQ396="7",BH396,0)</f>
        <v>0</v>
      </c>
      <c r="AE396" s="35">
        <f>IF(AQ396="7",BI396,0)</f>
        <v>94.6</v>
      </c>
      <c r="AF396" s="35">
        <f>IF(AQ396="2",BH396,0)</f>
        <v>0</v>
      </c>
      <c r="AG396" s="35">
        <f>IF(AQ396="2",BI396,0)</f>
        <v>0</v>
      </c>
      <c r="AH396" s="35">
        <f>IF(AQ396="0",BJ396,0)</f>
        <v>0</v>
      </c>
      <c r="AI396" s="77" t="s">
        <v>64</v>
      </c>
      <c r="AJ396" s="64">
        <f>IF(AN396=0,L396,0)</f>
        <v>0</v>
      </c>
      <c r="AK396" s="64">
        <f>IF(AN396=15,L396,0)</f>
        <v>0</v>
      </c>
      <c r="AL396" s="64">
        <f>IF(AN396=21,L396,0)</f>
        <v>94.6</v>
      </c>
      <c r="AN396" s="35">
        <v>21</v>
      </c>
      <c r="AO396" s="35">
        <f>I396*0</f>
        <v>0</v>
      </c>
      <c r="AP396" s="35">
        <f>I396*(1-0)</f>
        <v>94.6</v>
      </c>
      <c r="AQ396" s="78" t="s">
        <v>235</v>
      </c>
      <c r="AV396" s="35">
        <f>AW396+AX396</f>
        <v>94.6</v>
      </c>
      <c r="AW396" s="35">
        <f>H396*AO396</f>
        <v>0</v>
      </c>
      <c r="AX396" s="35">
        <f>H396*AP396</f>
        <v>94.6</v>
      </c>
      <c r="AY396" s="80" t="s">
        <v>1696</v>
      </c>
      <c r="AZ396" s="80" t="s">
        <v>1744</v>
      </c>
      <c r="BA396" s="77" t="s">
        <v>1777</v>
      </c>
      <c r="BC396" s="35">
        <f>AW396+AX396</f>
        <v>94.6</v>
      </c>
      <c r="BD396" s="35">
        <f>I396/(100-BE396)*100</f>
        <v>94.6</v>
      </c>
      <c r="BE396" s="35">
        <v>0</v>
      </c>
      <c r="BF396" s="35">
        <f>396</f>
        <v>396</v>
      </c>
      <c r="BH396" s="64">
        <f>H396*AO396</f>
        <v>0</v>
      </c>
      <c r="BI396" s="64">
        <f>H396*AP396</f>
        <v>94.6</v>
      </c>
      <c r="BJ396" s="64">
        <f>H396*I396</f>
        <v>94.6</v>
      </c>
      <c r="BK396" s="64" t="s">
        <v>1790</v>
      </c>
      <c r="BL396" s="35">
        <v>734</v>
      </c>
    </row>
    <row r="397" spans="1:64">
      <c r="A397" s="19"/>
      <c r="C397" s="59" t="s">
        <v>730</v>
      </c>
      <c r="D397" s="167" t="s">
        <v>1392</v>
      </c>
      <c r="E397" s="168"/>
      <c r="F397" s="168"/>
      <c r="G397" s="168"/>
      <c r="H397" s="168"/>
      <c r="I397" s="168"/>
      <c r="J397" s="168"/>
      <c r="K397" s="168"/>
      <c r="L397" s="168"/>
      <c r="M397" s="169"/>
      <c r="N397" s="19"/>
    </row>
    <row r="398" spans="1:64">
      <c r="A398" s="48" t="s">
        <v>446</v>
      </c>
      <c r="B398" s="56" t="s">
        <v>64</v>
      </c>
      <c r="C398" s="56" t="s">
        <v>946</v>
      </c>
      <c r="D398" s="170" t="s">
        <v>1393</v>
      </c>
      <c r="E398" s="171"/>
      <c r="F398" s="171"/>
      <c r="G398" s="56" t="s">
        <v>1643</v>
      </c>
      <c r="H398" s="65">
        <v>1</v>
      </c>
      <c r="I398" s="65">
        <v>9394</v>
      </c>
      <c r="J398" s="65">
        <f>H398*AO398</f>
        <v>9394</v>
      </c>
      <c r="K398" s="65">
        <f>H398*AP398</f>
        <v>0</v>
      </c>
      <c r="L398" s="65">
        <f>H398*I398</f>
        <v>9394</v>
      </c>
      <c r="M398" s="74"/>
      <c r="N398" s="19"/>
      <c r="Z398" s="35">
        <f>IF(AQ398="5",BJ398,0)</f>
        <v>0</v>
      </c>
      <c r="AB398" s="35">
        <f>IF(AQ398="1",BH398,0)</f>
        <v>0</v>
      </c>
      <c r="AC398" s="35">
        <f>IF(AQ398="1",BI398,0)</f>
        <v>0</v>
      </c>
      <c r="AD398" s="35">
        <f>IF(AQ398="7",BH398,0)</f>
        <v>9394</v>
      </c>
      <c r="AE398" s="35">
        <f>IF(AQ398="7",BI398,0)</f>
        <v>0</v>
      </c>
      <c r="AF398" s="35">
        <f>IF(AQ398="2",BH398,0)</f>
        <v>0</v>
      </c>
      <c r="AG398" s="35">
        <f>IF(AQ398="2",BI398,0)</f>
        <v>0</v>
      </c>
      <c r="AH398" s="35">
        <f>IF(AQ398="0",BJ398,0)</f>
        <v>0</v>
      </c>
      <c r="AI398" s="77" t="s">
        <v>64</v>
      </c>
      <c r="AJ398" s="65">
        <f>IF(AN398=0,L398,0)</f>
        <v>0</v>
      </c>
      <c r="AK398" s="65">
        <f>IF(AN398=15,L398,0)</f>
        <v>0</v>
      </c>
      <c r="AL398" s="65">
        <f>IF(AN398=21,L398,0)</f>
        <v>9394</v>
      </c>
      <c r="AN398" s="35">
        <v>21</v>
      </c>
      <c r="AO398" s="35">
        <f>I398*1</f>
        <v>9394</v>
      </c>
      <c r="AP398" s="35">
        <f>I398*(1-1)</f>
        <v>0</v>
      </c>
      <c r="AQ398" s="79" t="s">
        <v>235</v>
      </c>
      <c r="AV398" s="35">
        <f>AW398+AX398</f>
        <v>9394</v>
      </c>
      <c r="AW398" s="35">
        <f>H398*AO398</f>
        <v>9394</v>
      </c>
      <c r="AX398" s="35">
        <f>H398*AP398</f>
        <v>0</v>
      </c>
      <c r="AY398" s="80" t="s">
        <v>1696</v>
      </c>
      <c r="AZ398" s="80" t="s">
        <v>1744</v>
      </c>
      <c r="BA398" s="77" t="s">
        <v>1777</v>
      </c>
      <c r="BC398" s="35">
        <f>AW398+AX398</f>
        <v>9394</v>
      </c>
      <c r="BD398" s="35">
        <f>I398/(100-BE398)*100</f>
        <v>9394</v>
      </c>
      <c r="BE398" s="35">
        <v>0</v>
      </c>
      <c r="BF398" s="35">
        <f>398</f>
        <v>398</v>
      </c>
      <c r="BH398" s="65">
        <f>H398*AO398</f>
        <v>9394</v>
      </c>
      <c r="BI398" s="65">
        <f>H398*AP398</f>
        <v>0</v>
      </c>
      <c r="BJ398" s="65">
        <f>H398*I398</f>
        <v>9394</v>
      </c>
      <c r="BK398" s="65" t="s">
        <v>1642</v>
      </c>
      <c r="BL398" s="35">
        <v>734</v>
      </c>
    </row>
    <row r="399" spans="1:64">
      <c r="A399" s="19"/>
      <c r="C399" s="59" t="s">
        <v>730</v>
      </c>
      <c r="D399" s="167" t="s">
        <v>1393</v>
      </c>
      <c r="E399" s="168"/>
      <c r="F399" s="168"/>
      <c r="G399" s="168"/>
      <c r="H399" s="168"/>
      <c r="I399" s="168"/>
      <c r="J399" s="168"/>
      <c r="K399" s="168"/>
      <c r="L399" s="168"/>
      <c r="M399" s="169"/>
      <c r="N399" s="19"/>
    </row>
    <row r="400" spans="1:64">
      <c r="A400" s="47" t="s">
        <v>447</v>
      </c>
      <c r="B400" s="55" t="s">
        <v>64</v>
      </c>
      <c r="C400" s="55" t="s">
        <v>947</v>
      </c>
      <c r="D400" s="165" t="s">
        <v>1394</v>
      </c>
      <c r="E400" s="166"/>
      <c r="F400" s="166"/>
      <c r="G400" s="55" t="s">
        <v>1641</v>
      </c>
      <c r="H400" s="64">
        <v>1</v>
      </c>
      <c r="I400" s="64">
        <v>111.1</v>
      </c>
      <c r="J400" s="64">
        <f>H400*AO400</f>
        <v>0</v>
      </c>
      <c r="K400" s="64">
        <f>H400*AP400</f>
        <v>111.1</v>
      </c>
      <c r="L400" s="64">
        <f>H400*I400</f>
        <v>111.1</v>
      </c>
      <c r="M400" s="73" t="s">
        <v>1660</v>
      </c>
      <c r="N400" s="19"/>
      <c r="Z400" s="35">
        <f>IF(AQ400="5",BJ400,0)</f>
        <v>0</v>
      </c>
      <c r="AB400" s="35">
        <f>IF(AQ400="1",BH400,0)</f>
        <v>0</v>
      </c>
      <c r="AC400" s="35">
        <f>IF(AQ400="1",BI400,0)</f>
        <v>0</v>
      </c>
      <c r="AD400" s="35">
        <f>IF(AQ400="7",BH400,0)</f>
        <v>0</v>
      </c>
      <c r="AE400" s="35">
        <f>IF(AQ400="7",BI400,0)</f>
        <v>111.1</v>
      </c>
      <c r="AF400" s="35">
        <f>IF(AQ400="2",BH400,0)</f>
        <v>0</v>
      </c>
      <c r="AG400" s="35">
        <f>IF(AQ400="2",BI400,0)</f>
        <v>0</v>
      </c>
      <c r="AH400" s="35">
        <f>IF(AQ400="0",BJ400,0)</f>
        <v>0</v>
      </c>
      <c r="AI400" s="77" t="s">
        <v>64</v>
      </c>
      <c r="AJ400" s="64">
        <f>IF(AN400=0,L400,0)</f>
        <v>0</v>
      </c>
      <c r="AK400" s="64">
        <f>IF(AN400=15,L400,0)</f>
        <v>0</v>
      </c>
      <c r="AL400" s="64">
        <f>IF(AN400=21,L400,0)</f>
        <v>111.1</v>
      </c>
      <c r="AN400" s="35">
        <v>21</v>
      </c>
      <c r="AO400" s="35">
        <f>I400*0</f>
        <v>0</v>
      </c>
      <c r="AP400" s="35">
        <f>I400*(1-0)</f>
        <v>111.1</v>
      </c>
      <c r="AQ400" s="78" t="s">
        <v>235</v>
      </c>
      <c r="AV400" s="35">
        <f>AW400+AX400</f>
        <v>111.1</v>
      </c>
      <c r="AW400" s="35">
        <f>H400*AO400</f>
        <v>0</v>
      </c>
      <c r="AX400" s="35">
        <f>H400*AP400</f>
        <v>111.1</v>
      </c>
      <c r="AY400" s="80" t="s">
        <v>1696</v>
      </c>
      <c r="AZ400" s="80" t="s">
        <v>1744</v>
      </c>
      <c r="BA400" s="77" t="s">
        <v>1777</v>
      </c>
      <c r="BC400" s="35">
        <f>AW400+AX400</f>
        <v>111.1</v>
      </c>
      <c r="BD400" s="35">
        <f>I400/(100-BE400)*100</f>
        <v>111.1</v>
      </c>
      <c r="BE400" s="35">
        <v>0</v>
      </c>
      <c r="BF400" s="35">
        <f>400</f>
        <v>400</v>
      </c>
      <c r="BH400" s="64">
        <f>H400*AO400</f>
        <v>0</v>
      </c>
      <c r="BI400" s="64">
        <f>H400*AP400</f>
        <v>111.1</v>
      </c>
      <c r="BJ400" s="64">
        <f>H400*I400</f>
        <v>111.1</v>
      </c>
      <c r="BK400" s="64" t="s">
        <v>1790</v>
      </c>
      <c r="BL400" s="35">
        <v>734</v>
      </c>
    </row>
    <row r="401" spans="1:64">
      <c r="A401" s="19"/>
      <c r="C401" s="59" t="s">
        <v>730</v>
      </c>
      <c r="D401" s="167" t="s">
        <v>1395</v>
      </c>
      <c r="E401" s="168"/>
      <c r="F401" s="168"/>
      <c r="G401" s="168"/>
      <c r="H401" s="168"/>
      <c r="I401" s="168"/>
      <c r="J401" s="168"/>
      <c r="K401" s="168"/>
      <c r="L401" s="168"/>
      <c r="M401" s="169"/>
      <c r="N401" s="19"/>
    </row>
    <row r="402" spans="1:64">
      <c r="A402" s="48" t="s">
        <v>448</v>
      </c>
      <c r="B402" s="56" t="s">
        <v>64</v>
      </c>
      <c r="C402" s="56" t="s">
        <v>948</v>
      </c>
      <c r="D402" s="170" t="s">
        <v>1396</v>
      </c>
      <c r="E402" s="171"/>
      <c r="F402" s="171"/>
      <c r="G402" s="56" t="s">
        <v>1643</v>
      </c>
      <c r="H402" s="65">
        <v>1</v>
      </c>
      <c r="I402" s="65">
        <v>7055.4</v>
      </c>
      <c r="J402" s="65">
        <f>H402*AO402</f>
        <v>7055.4</v>
      </c>
      <c r="K402" s="65">
        <f>H402*AP402</f>
        <v>0</v>
      </c>
      <c r="L402" s="65">
        <f>H402*I402</f>
        <v>7055.4</v>
      </c>
      <c r="M402" s="74"/>
      <c r="N402" s="19"/>
      <c r="Z402" s="35">
        <f>IF(AQ402="5",BJ402,0)</f>
        <v>0</v>
      </c>
      <c r="AB402" s="35">
        <f>IF(AQ402="1",BH402,0)</f>
        <v>0</v>
      </c>
      <c r="AC402" s="35">
        <f>IF(AQ402="1",BI402,0)</f>
        <v>0</v>
      </c>
      <c r="AD402" s="35">
        <f>IF(AQ402="7",BH402,0)</f>
        <v>7055.4</v>
      </c>
      <c r="AE402" s="35">
        <f>IF(AQ402="7",BI402,0)</f>
        <v>0</v>
      </c>
      <c r="AF402" s="35">
        <f>IF(AQ402="2",BH402,0)</f>
        <v>0</v>
      </c>
      <c r="AG402" s="35">
        <f>IF(AQ402="2",BI402,0)</f>
        <v>0</v>
      </c>
      <c r="AH402" s="35">
        <f>IF(AQ402="0",BJ402,0)</f>
        <v>0</v>
      </c>
      <c r="AI402" s="77" t="s">
        <v>64</v>
      </c>
      <c r="AJ402" s="65">
        <f>IF(AN402=0,L402,0)</f>
        <v>0</v>
      </c>
      <c r="AK402" s="65">
        <f>IF(AN402=15,L402,0)</f>
        <v>0</v>
      </c>
      <c r="AL402" s="65">
        <f>IF(AN402=21,L402,0)</f>
        <v>7055.4</v>
      </c>
      <c r="AN402" s="35">
        <v>21</v>
      </c>
      <c r="AO402" s="35">
        <f>I402*1</f>
        <v>7055.4</v>
      </c>
      <c r="AP402" s="35">
        <f>I402*(1-1)</f>
        <v>0</v>
      </c>
      <c r="AQ402" s="79" t="s">
        <v>235</v>
      </c>
      <c r="AV402" s="35">
        <f>AW402+AX402</f>
        <v>7055.4</v>
      </c>
      <c r="AW402" s="35">
        <f>H402*AO402</f>
        <v>7055.4</v>
      </c>
      <c r="AX402" s="35">
        <f>H402*AP402</f>
        <v>0</v>
      </c>
      <c r="AY402" s="80" t="s">
        <v>1696</v>
      </c>
      <c r="AZ402" s="80" t="s">
        <v>1744</v>
      </c>
      <c r="BA402" s="77" t="s">
        <v>1777</v>
      </c>
      <c r="BC402" s="35">
        <f>AW402+AX402</f>
        <v>7055.4</v>
      </c>
      <c r="BD402" s="35">
        <f>I402/(100-BE402)*100</f>
        <v>7055.4000000000005</v>
      </c>
      <c r="BE402" s="35">
        <v>0</v>
      </c>
      <c r="BF402" s="35">
        <f>402</f>
        <v>402</v>
      </c>
      <c r="BH402" s="65">
        <f>H402*AO402</f>
        <v>7055.4</v>
      </c>
      <c r="BI402" s="65">
        <f>H402*AP402</f>
        <v>0</v>
      </c>
      <c r="BJ402" s="65">
        <f>H402*I402</f>
        <v>7055.4</v>
      </c>
      <c r="BK402" s="65" t="s">
        <v>1642</v>
      </c>
      <c r="BL402" s="35">
        <v>734</v>
      </c>
    </row>
    <row r="403" spans="1:64">
      <c r="A403" s="19"/>
      <c r="C403" s="59" t="s">
        <v>730</v>
      </c>
      <c r="D403" s="167" t="s">
        <v>1397</v>
      </c>
      <c r="E403" s="168"/>
      <c r="F403" s="168"/>
      <c r="G403" s="168"/>
      <c r="H403" s="168"/>
      <c r="I403" s="168"/>
      <c r="J403" s="168"/>
      <c r="K403" s="168"/>
      <c r="L403" s="168"/>
      <c r="M403" s="169"/>
      <c r="N403" s="19"/>
    </row>
    <row r="404" spans="1:64">
      <c r="A404" s="47" t="s">
        <v>449</v>
      </c>
      <c r="B404" s="55" t="s">
        <v>64</v>
      </c>
      <c r="C404" s="55" t="s">
        <v>949</v>
      </c>
      <c r="D404" s="165" t="s">
        <v>1398</v>
      </c>
      <c r="E404" s="166"/>
      <c r="F404" s="166"/>
      <c r="G404" s="55" t="s">
        <v>1641</v>
      </c>
      <c r="H404" s="64">
        <v>1</v>
      </c>
      <c r="I404" s="64">
        <v>141.9</v>
      </c>
      <c r="J404" s="64">
        <f>H404*AO404</f>
        <v>0</v>
      </c>
      <c r="K404" s="64">
        <f>H404*AP404</f>
        <v>141.9</v>
      </c>
      <c r="L404" s="64">
        <f>H404*I404</f>
        <v>141.9</v>
      </c>
      <c r="M404" s="73" t="s">
        <v>1660</v>
      </c>
      <c r="N404" s="19"/>
      <c r="Z404" s="35">
        <f>IF(AQ404="5",BJ404,0)</f>
        <v>0</v>
      </c>
      <c r="AB404" s="35">
        <f>IF(AQ404="1",BH404,0)</f>
        <v>0</v>
      </c>
      <c r="AC404" s="35">
        <f>IF(AQ404="1",BI404,0)</f>
        <v>0</v>
      </c>
      <c r="AD404" s="35">
        <f>IF(AQ404="7",BH404,0)</f>
        <v>0</v>
      </c>
      <c r="AE404" s="35">
        <f>IF(AQ404="7",BI404,0)</f>
        <v>141.9</v>
      </c>
      <c r="AF404" s="35">
        <f>IF(AQ404="2",BH404,0)</f>
        <v>0</v>
      </c>
      <c r="AG404" s="35">
        <f>IF(AQ404="2",BI404,0)</f>
        <v>0</v>
      </c>
      <c r="AH404" s="35">
        <f>IF(AQ404="0",BJ404,0)</f>
        <v>0</v>
      </c>
      <c r="AI404" s="77" t="s">
        <v>64</v>
      </c>
      <c r="AJ404" s="64">
        <f>IF(AN404=0,L404,0)</f>
        <v>0</v>
      </c>
      <c r="AK404" s="64">
        <f>IF(AN404=15,L404,0)</f>
        <v>0</v>
      </c>
      <c r="AL404" s="64">
        <f>IF(AN404=21,L404,0)</f>
        <v>141.9</v>
      </c>
      <c r="AN404" s="35">
        <v>21</v>
      </c>
      <c r="AO404" s="35">
        <f>I404*0</f>
        <v>0</v>
      </c>
      <c r="AP404" s="35">
        <f>I404*(1-0)</f>
        <v>141.9</v>
      </c>
      <c r="AQ404" s="78" t="s">
        <v>235</v>
      </c>
      <c r="AV404" s="35">
        <f>AW404+AX404</f>
        <v>141.9</v>
      </c>
      <c r="AW404" s="35">
        <f>H404*AO404</f>
        <v>0</v>
      </c>
      <c r="AX404" s="35">
        <f>H404*AP404</f>
        <v>141.9</v>
      </c>
      <c r="AY404" s="80" t="s">
        <v>1696</v>
      </c>
      <c r="AZ404" s="80" t="s">
        <v>1744</v>
      </c>
      <c r="BA404" s="77" t="s">
        <v>1777</v>
      </c>
      <c r="BC404" s="35">
        <f>AW404+AX404</f>
        <v>141.9</v>
      </c>
      <c r="BD404" s="35">
        <f>I404/(100-BE404)*100</f>
        <v>141.9</v>
      </c>
      <c r="BE404" s="35">
        <v>0</v>
      </c>
      <c r="BF404" s="35">
        <f>404</f>
        <v>404</v>
      </c>
      <c r="BH404" s="64">
        <f>H404*AO404</f>
        <v>0</v>
      </c>
      <c r="BI404" s="64">
        <f>H404*AP404</f>
        <v>141.9</v>
      </c>
      <c r="BJ404" s="64">
        <f>H404*I404</f>
        <v>141.9</v>
      </c>
      <c r="BK404" s="64" t="s">
        <v>1790</v>
      </c>
      <c r="BL404" s="35">
        <v>734</v>
      </c>
    </row>
    <row r="405" spans="1:64">
      <c r="A405" s="19"/>
      <c r="C405" s="59" t="s">
        <v>730</v>
      </c>
      <c r="D405" s="167" t="s">
        <v>1399</v>
      </c>
      <c r="E405" s="168"/>
      <c r="F405" s="168"/>
      <c r="G405" s="168"/>
      <c r="H405" s="168"/>
      <c r="I405" s="168"/>
      <c r="J405" s="168"/>
      <c r="K405" s="168"/>
      <c r="L405" s="168"/>
      <c r="M405" s="169"/>
      <c r="N405" s="19"/>
    </row>
    <row r="406" spans="1:64">
      <c r="A406" s="48" t="s">
        <v>450</v>
      </c>
      <c r="B406" s="56" t="s">
        <v>64</v>
      </c>
      <c r="C406" s="56" t="s">
        <v>950</v>
      </c>
      <c r="D406" s="170" t="s">
        <v>1400</v>
      </c>
      <c r="E406" s="171"/>
      <c r="F406" s="171"/>
      <c r="G406" s="56" t="s">
        <v>1643</v>
      </c>
      <c r="H406" s="65">
        <v>1</v>
      </c>
      <c r="I406" s="65">
        <v>4024.9</v>
      </c>
      <c r="J406" s="65">
        <f>H406*AO406</f>
        <v>4024.9</v>
      </c>
      <c r="K406" s="65">
        <f>H406*AP406</f>
        <v>0</v>
      </c>
      <c r="L406" s="65">
        <f>H406*I406</f>
        <v>4024.9</v>
      </c>
      <c r="M406" s="74"/>
      <c r="N406" s="19"/>
      <c r="Z406" s="35">
        <f>IF(AQ406="5",BJ406,0)</f>
        <v>0</v>
      </c>
      <c r="AB406" s="35">
        <f>IF(AQ406="1",BH406,0)</f>
        <v>0</v>
      </c>
      <c r="AC406" s="35">
        <f>IF(AQ406="1",BI406,0)</f>
        <v>0</v>
      </c>
      <c r="AD406" s="35">
        <f>IF(AQ406="7",BH406,0)</f>
        <v>4024.9</v>
      </c>
      <c r="AE406" s="35">
        <f>IF(AQ406="7",BI406,0)</f>
        <v>0</v>
      </c>
      <c r="AF406" s="35">
        <f>IF(AQ406="2",BH406,0)</f>
        <v>0</v>
      </c>
      <c r="AG406" s="35">
        <f>IF(AQ406="2",BI406,0)</f>
        <v>0</v>
      </c>
      <c r="AH406" s="35">
        <f>IF(AQ406="0",BJ406,0)</f>
        <v>0</v>
      </c>
      <c r="AI406" s="77" t="s">
        <v>64</v>
      </c>
      <c r="AJ406" s="65">
        <f>IF(AN406=0,L406,0)</f>
        <v>0</v>
      </c>
      <c r="AK406" s="65">
        <f>IF(AN406=15,L406,0)</f>
        <v>0</v>
      </c>
      <c r="AL406" s="65">
        <f>IF(AN406=21,L406,0)</f>
        <v>4024.9</v>
      </c>
      <c r="AN406" s="35">
        <v>21</v>
      </c>
      <c r="AO406" s="35">
        <f>I406*1</f>
        <v>4024.9</v>
      </c>
      <c r="AP406" s="35">
        <f>I406*(1-1)</f>
        <v>0</v>
      </c>
      <c r="AQ406" s="79" t="s">
        <v>235</v>
      </c>
      <c r="AV406" s="35">
        <f>AW406+AX406</f>
        <v>4024.9</v>
      </c>
      <c r="AW406" s="35">
        <f>H406*AO406</f>
        <v>4024.9</v>
      </c>
      <c r="AX406" s="35">
        <f>H406*AP406</f>
        <v>0</v>
      </c>
      <c r="AY406" s="80" t="s">
        <v>1696</v>
      </c>
      <c r="AZ406" s="80" t="s">
        <v>1744</v>
      </c>
      <c r="BA406" s="77" t="s">
        <v>1777</v>
      </c>
      <c r="BC406" s="35">
        <f>AW406+AX406</f>
        <v>4024.9</v>
      </c>
      <c r="BD406" s="35">
        <f>I406/(100-BE406)*100</f>
        <v>4024.9</v>
      </c>
      <c r="BE406" s="35">
        <v>0</v>
      </c>
      <c r="BF406" s="35">
        <f>406</f>
        <v>406</v>
      </c>
      <c r="BH406" s="65">
        <f>H406*AO406</f>
        <v>4024.9</v>
      </c>
      <c r="BI406" s="65">
        <f>H406*AP406</f>
        <v>0</v>
      </c>
      <c r="BJ406" s="65">
        <f>H406*I406</f>
        <v>4024.9</v>
      </c>
      <c r="BK406" s="65" t="s">
        <v>1642</v>
      </c>
      <c r="BL406" s="35">
        <v>734</v>
      </c>
    </row>
    <row r="407" spans="1:64">
      <c r="A407" s="19"/>
      <c r="C407" s="59" t="s">
        <v>730</v>
      </c>
      <c r="D407" s="167" t="s">
        <v>1400</v>
      </c>
      <c r="E407" s="168"/>
      <c r="F407" s="168"/>
      <c r="G407" s="168"/>
      <c r="H407" s="168"/>
      <c r="I407" s="168"/>
      <c r="J407" s="168"/>
      <c r="K407" s="168"/>
      <c r="L407" s="168"/>
      <c r="M407" s="169"/>
      <c r="N407" s="19"/>
    </row>
    <row r="408" spans="1:64">
      <c r="A408" s="47" t="s">
        <v>451</v>
      </c>
      <c r="B408" s="55" t="s">
        <v>64</v>
      </c>
      <c r="C408" s="55" t="s">
        <v>951</v>
      </c>
      <c r="D408" s="165" t="s">
        <v>1401</v>
      </c>
      <c r="E408" s="166"/>
      <c r="F408" s="166"/>
      <c r="G408" s="55" t="s">
        <v>1641</v>
      </c>
      <c r="H408" s="64">
        <v>1</v>
      </c>
      <c r="I408" s="64">
        <v>763.4</v>
      </c>
      <c r="J408" s="64">
        <f>H408*AO408</f>
        <v>0</v>
      </c>
      <c r="K408" s="64">
        <f>H408*AP408</f>
        <v>763.4</v>
      </c>
      <c r="L408" s="64">
        <f>H408*I408</f>
        <v>763.4</v>
      </c>
      <c r="M408" s="73" t="s">
        <v>1660</v>
      </c>
      <c r="N408" s="19"/>
      <c r="Z408" s="35">
        <f>IF(AQ408="5",BJ408,0)</f>
        <v>0</v>
      </c>
      <c r="AB408" s="35">
        <f>IF(AQ408="1",BH408,0)</f>
        <v>0</v>
      </c>
      <c r="AC408" s="35">
        <f>IF(AQ408="1",BI408,0)</f>
        <v>0</v>
      </c>
      <c r="AD408" s="35">
        <f>IF(AQ408="7",BH408,0)</f>
        <v>0</v>
      </c>
      <c r="AE408" s="35">
        <f>IF(AQ408="7",BI408,0)</f>
        <v>763.4</v>
      </c>
      <c r="AF408" s="35">
        <f>IF(AQ408="2",BH408,0)</f>
        <v>0</v>
      </c>
      <c r="AG408" s="35">
        <f>IF(AQ408="2",BI408,0)</f>
        <v>0</v>
      </c>
      <c r="AH408" s="35">
        <f>IF(AQ408="0",BJ408,0)</f>
        <v>0</v>
      </c>
      <c r="AI408" s="77" t="s">
        <v>64</v>
      </c>
      <c r="AJ408" s="64">
        <f>IF(AN408=0,L408,0)</f>
        <v>0</v>
      </c>
      <c r="AK408" s="64">
        <f>IF(AN408=15,L408,0)</f>
        <v>0</v>
      </c>
      <c r="AL408" s="64">
        <f>IF(AN408=21,L408,0)</f>
        <v>763.4</v>
      </c>
      <c r="AN408" s="35">
        <v>21</v>
      </c>
      <c r="AO408" s="35">
        <f>I408*0</f>
        <v>0</v>
      </c>
      <c r="AP408" s="35">
        <f>I408*(1-0)</f>
        <v>763.4</v>
      </c>
      <c r="AQ408" s="78" t="s">
        <v>235</v>
      </c>
      <c r="AV408" s="35">
        <f>AW408+AX408</f>
        <v>763.4</v>
      </c>
      <c r="AW408" s="35">
        <f>H408*AO408</f>
        <v>0</v>
      </c>
      <c r="AX408" s="35">
        <f>H408*AP408</f>
        <v>763.4</v>
      </c>
      <c r="AY408" s="80" t="s">
        <v>1696</v>
      </c>
      <c r="AZ408" s="80" t="s">
        <v>1744</v>
      </c>
      <c r="BA408" s="77" t="s">
        <v>1777</v>
      </c>
      <c r="BC408" s="35">
        <f>AW408+AX408</f>
        <v>763.4</v>
      </c>
      <c r="BD408" s="35">
        <f>I408/(100-BE408)*100</f>
        <v>763.4</v>
      </c>
      <c r="BE408" s="35">
        <v>0</v>
      </c>
      <c r="BF408" s="35">
        <f>408</f>
        <v>408</v>
      </c>
      <c r="BH408" s="64">
        <f>H408*AO408</f>
        <v>0</v>
      </c>
      <c r="BI408" s="64">
        <f>H408*AP408</f>
        <v>763.4</v>
      </c>
      <c r="BJ408" s="64">
        <f>H408*I408</f>
        <v>763.4</v>
      </c>
      <c r="BK408" s="64" t="s">
        <v>1790</v>
      </c>
      <c r="BL408" s="35">
        <v>734</v>
      </c>
    </row>
    <row r="409" spans="1:64">
      <c r="A409" s="19"/>
      <c r="C409" s="59" t="s">
        <v>730</v>
      </c>
      <c r="D409" s="167" t="s">
        <v>1401</v>
      </c>
      <c r="E409" s="168"/>
      <c r="F409" s="168"/>
      <c r="G409" s="168"/>
      <c r="H409" s="168"/>
      <c r="I409" s="168"/>
      <c r="J409" s="168"/>
      <c r="K409" s="168"/>
      <c r="L409" s="168"/>
      <c r="M409" s="169"/>
      <c r="N409" s="19"/>
    </row>
    <row r="410" spans="1:64">
      <c r="A410" s="47" t="s">
        <v>452</v>
      </c>
      <c r="B410" s="55" t="s">
        <v>64</v>
      </c>
      <c r="C410" s="55" t="s">
        <v>952</v>
      </c>
      <c r="D410" s="165" t="s">
        <v>1402</v>
      </c>
      <c r="E410" s="166"/>
      <c r="F410" s="166"/>
      <c r="G410" s="55" t="s">
        <v>1641</v>
      </c>
      <c r="H410" s="64">
        <v>1</v>
      </c>
      <c r="I410" s="64">
        <v>259.60000000000002</v>
      </c>
      <c r="J410" s="64">
        <f>H410*AO410</f>
        <v>0</v>
      </c>
      <c r="K410" s="64">
        <f>H410*AP410</f>
        <v>259.60000000000002</v>
      </c>
      <c r="L410" s="64">
        <f>H410*I410</f>
        <v>259.60000000000002</v>
      </c>
      <c r="M410" s="73" t="s">
        <v>1660</v>
      </c>
      <c r="N410" s="19"/>
      <c r="Z410" s="35">
        <f>IF(AQ410="5",BJ410,0)</f>
        <v>0</v>
      </c>
      <c r="AB410" s="35">
        <f>IF(AQ410="1",BH410,0)</f>
        <v>0</v>
      </c>
      <c r="AC410" s="35">
        <f>IF(AQ410="1",BI410,0)</f>
        <v>0</v>
      </c>
      <c r="AD410" s="35">
        <f>IF(AQ410="7",BH410,0)</f>
        <v>0</v>
      </c>
      <c r="AE410" s="35">
        <f>IF(AQ410="7",BI410,0)</f>
        <v>259.60000000000002</v>
      </c>
      <c r="AF410" s="35">
        <f>IF(AQ410="2",BH410,0)</f>
        <v>0</v>
      </c>
      <c r="AG410" s="35">
        <f>IF(AQ410="2",BI410,0)</f>
        <v>0</v>
      </c>
      <c r="AH410" s="35">
        <f>IF(AQ410="0",BJ410,0)</f>
        <v>0</v>
      </c>
      <c r="AI410" s="77" t="s">
        <v>64</v>
      </c>
      <c r="AJ410" s="64">
        <f>IF(AN410=0,L410,0)</f>
        <v>0</v>
      </c>
      <c r="AK410" s="64">
        <f>IF(AN410=15,L410,0)</f>
        <v>0</v>
      </c>
      <c r="AL410" s="64">
        <f>IF(AN410=21,L410,0)</f>
        <v>259.60000000000002</v>
      </c>
      <c r="AN410" s="35">
        <v>21</v>
      </c>
      <c r="AO410" s="35">
        <f>I410*0</f>
        <v>0</v>
      </c>
      <c r="AP410" s="35">
        <f>I410*(1-0)</f>
        <v>259.60000000000002</v>
      </c>
      <c r="AQ410" s="78" t="s">
        <v>235</v>
      </c>
      <c r="AV410" s="35">
        <f>AW410+AX410</f>
        <v>259.60000000000002</v>
      </c>
      <c r="AW410" s="35">
        <f>H410*AO410</f>
        <v>0</v>
      </c>
      <c r="AX410" s="35">
        <f>H410*AP410</f>
        <v>259.60000000000002</v>
      </c>
      <c r="AY410" s="80" t="s">
        <v>1696</v>
      </c>
      <c r="AZ410" s="80" t="s">
        <v>1744</v>
      </c>
      <c r="BA410" s="77" t="s">
        <v>1777</v>
      </c>
      <c r="BC410" s="35">
        <f>AW410+AX410</f>
        <v>259.60000000000002</v>
      </c>
      <c r="BD410" s="35">
        <f>I410/(100-BE410)*100</f>
        <v>259.60000000000002</v>
      </c>
      <c r="BE410" s="35">
        <v>0</v>
      </c>
      <c r="BF410" s="35">
        <f>410</f>
        <v>410</v>
      </c>
      <c r="BH410" s="64">
        <f>H410*AO410</f>
        <v>0</v>
      </c>
      <c r="BI410" s="64">
        <f>H410*AP410</f>
        <v>259.60000000000002</v>
      </c>
      <c r="BJ410" s="64">
        <f>H410*I410</f>
        <v>259.60000000000002</v>
      </c>
      <c r="BK410" s="64" t="s">
        <v>1790</v>
      </c>
      <c r="BL410" s="35">
        <v>734</v>
      </c>
    </row>
    <row r="411" spans="1:64">
      <c r="A411" s="19"/>
      <c r="C411" s="59" t="s">
        <v>730</v>
      </c>
      <c r="D411" s="167" t="s">
        <v>1403</v>
      </c>
      <c r="E411" s="168"/>
      <c r="F411" s="168"/>
      <c r="G411" s="168"/>
      <c r="H411" s="168"/>
      <c r="I411" s="168"/>
      <c r="J411" s="168"/>
      <c r="K411" s="168"/>
      <c r="L411" s="168"/>
      <c r="M411" s="169"/>
      <c r="N411" s="19"/>
    </row>
    <row r="412" spans="1:64">
      <c r="A412" s="47" t="s">
        <v>453</v>
      </c>
      <c r="B412" s="55" t="s">
        <v>64</v>
      </c>
      <c r="C412" s="55" t="s">
        <v>953</v>
      </c>
      <c r="D412" s="165" t="s">
        <v>1404</v>
      </c>
      <c r="E412" s="166"/>
      <c r="F412" s="166"/>
      <c r="G412" s="55" t="s">
        <v>1641</v>
      </c>
      <c r="H412" s="64">
        <v>4</v>
      </c>
      <c r="I412" s="64">
        <v>1452</v>
      </c>
      <c r="J412" s="64">
        <f>H412*AO412</f>
        <v>0</v>
      </c>
      <c r="K412" s="64">
        <f>H412*AP412</f>
        <v>5808</v>
      </c>
      <c r="L412" s="64">
        <f>H412*I412</f>
        <v>5808</v>
      </c>
      <c r="M412" s="73" t="s">
        <v>1660</v>
      </c>
      <c r="N412" s="19"/>
      <c r="Z412" s="35">
        <f>IF(AQ412="5",BJ412,0)</f>
        <v>0</v>
      </c>
      <c r="AB412" s="35">
        <f>IF(AQ412="1",BH412,0)</f>
        <v>0</v>
      </c>
      <c r="AC412" s="35">
        <f>IF(AQ412="1",BI412,0)</f>
        <v>0</v>
      </c>
      <c r="AD412" s="35">
        <f>IF(AQ412="7",BH412,0)</f>
        <v>0</v>
      </c>
      <c r="AE412" s="35">
        <f>IF(AQ412="7",BI412,0)</f>
        <v>5808</v>
      </c>
      <c r="AF412" s="35">
        <f>IF(AQ412="2",BH412,0)</f>
        <v>0</v>
      </c>
      <c r="AG412" s="35">
        <f>IF(AQ412="2",BI412,0)</f>
        <v>0</v>
      </c>
      <c r="AH412" s="35">
        <f>IF(AQ412="0",BJ412,0)</f>
        <v>0</v>
      </c>
      <c r="AI412" s="77" t="s">
        <v>64</v>
      </c>
      <c r="AJ412" s="64">
        <f>IF(AN412=0,L412,0)</f>
        <v>0</v>
      </c>
      <c r="AK412" s="64">
        <f>IF(AN412=15,L412,0)</f>
        <v>0</v>
      </c>
      <c r="AL412" s="64">
        <f>IF(AN412=21,L412,0)</f>
        <v>5808</v>
      </c>
      <c r="AN412" s="35">
        <v>21</v>
      </c>
      <c r="AO412" s="35">
        <f>I412*0</f>
        <v>0</v>
      </c>
      <c r="AP412" s="35">
        <f>I412*(1-0)</f>
        <v>1452</v>
      </c>
      <c r="AQ412" s="78" t="s">
        <v>235</v>
      </c>
      <c r="AV412" s="35">
        <f>AW412+AX412</f>
        <v>5808</v>
      </c>
      <c r="AW412" s="35">
        <f>H412*AO412</f>
        <v>0</v>
      </c>
      <c r="AX412" s="35">
        <f>H412*AP412</f>
        <v>5808</v>
      </c>
      <c r="AY412" s="80" t="s">
        <v>1696</v>
      </c>
      <c r="AZ412" s="80" t="s">
        <v>1744</v>
      </c>
      <c r="BA412" s="77" t="s">
        <v>1777</v>
      </c>
      <c r="BC412" s="35">
        <f>AW412+AX412</f>
        <v>5808</v>
      </c>
      <c r="BD412" s="35">
        <f>I412/(100-BE412)*100</f>
        <v>1452</v>
      </c>
      <c r="BE412" s="35">
        <v>0</v>
      </c>
      <c r="BF412" s="35">
        <f>412</f>
        <v>412</v>
      </c>
      <c r="BH412" s="64">
        <f>H412*AO412</f>
        <v>0</v>
      </c>
      <c r="BI412" s="64">
        <f>H412*AP412</f>
        <v>5808</v>
      </c>
      <c r="BJ412" s="64">
        <f>H412*I412</f>
        <v>5808</v>
      </c>
      <c r="BK412" s="64" t="s">
        <v>1790</v>
      </c>
      <c r="BL412" s="35">
        <v>734</v>
      </c>
    </row>
    <row r="413" spans="1:64">
      <c r="A413" s="19"/>
      <c r="C413" s="59" t="s">
        <v>730</v>
      </c>
      <c r="D413" s="167" t="s">
        <v>1404</v>
      </c>
      <c r="E413" s="168"/>
      <c r="F413" s="168"/>
      <c r="G413" s="168"/>
      <c r="H413" s="168"/>
      <c r="I413" s="168"/>
      <c r="J413" s="168"/>
      <c r="K413" s="168"/>
      <c r="L413" s="168"/>
      <c r="M413" s="169"/>
      <c r="N413" s="19"/>
    </row>
    <row r="414" spans="1:64">
      <c r="A414" s="47" t="s">
        <v>454</v>
      </c>
      <c r="B414" s="55" t="s">
        <v>64</v>
      </c>
      <c r="C414" s="55" t="s">
        <v>954</v>
      </c>
      <c r="D414" s="165" t="s">
        <v>1405</v>
      </c>
      <c r="E414" s="166"/>
      <c r="F414" s="166"/>
      <c r="G414" s="55" t="s">
        <v>1641</v>
      </c>
      <c r="H414" s="64">
        <v>4</v>
      </c>
      <c r="I414" s="64">
        <v>275</v>
      </c>
      <c r="J414" s="64">
        <f>H414*AO414</f>
        <v>0</v>
      </c>
      <c r="K414" s="64">
        <f>H414*AP414</f>
        <v>1100</v>
      </c>
      <c r="L414" s="64">
        <f>H414*I414</f>
        <v>1100</v>
      </c>
      <c r="M414" s="73" t="s">
        <v>1660</v>
      </c>
      <c r="N414" s="19"/>
      <c r="Z414" s="35">
        <f>IF(AQ414="5",BJ414,0)</f>
        <v>0</v>
      </c>
      <c r="AB414" s="35">
        <f>IF(AQ414="1",BH414,0)</f>
        <v>0</v>
      </c>
      <c r="AC414" s="35">
        <f>IF(AQ414="1",BI414,0)</f>
        <v>0</v>
      </c>
      <c r="AD414" s="35">
        <f>IF(AQ414="7",BH414,0)</f>
        <v>0</v>
      </c>
      <c r="AE414" s="35">
        <f>IF(AQ414="7",BI414,0)</f>
        <v>1100</v>
      </c>
      <c r="AF414" s="35">
        <f>IF(AQ414="2",BH414,0)</f>
        <v>0</v>
      </c>
      <c r="AG414" s="35">
        <f>IF(AQ414="2",BI414,0)</f>
        <v>0</v>
      </c>
      <c r="AH414" s="35">
        <f>IF(AQ414="0",BJ414,0)</f>
        <v>0</v>
      </c>
      <c r="AI414" s="77" t="s">
        <v>64</v>
      </c>
      <c r="AJ414" s="64">
        <f>IF(AN414=0,L414,0)</f>
        <v>0</v>
      </c>
      <c r="AK414" s="64">
        <f>IF(AN414=15,L414,0)</f>
        <v>0</v>
      </c>
      <c r="AL414" s="64">
        <f>IF(AN414=21,L414,0)</f>
        <v>1100</v>
      </c>
      <c r="AN414" s="35">
        <v>21</v>
      </c>
      <c r="AO414" s="35">
        <f>I414*0</f>
        <v>0</v>
      </c>
      <c r="AP414" s="35">
        <f>I414*(1-0)</f>
        <v>275</v>
      </c>
      <c r="AQ414" s="78" t="s">
        <v>235</v>
      </c>
      <c r="AV414" s="35">
        <f>AW414+AX414</f>
        <v>1100</v>
      </c>
      <c r="AW414" s="35">
        <f>H414*AO414</f>
        <v>0</v>
      </c>
      <c r="AX414" s="35">
        <f>H414*AP414</f>
        <v>1100</v>
      </c>
      <c r="AY414" s="80" t="s">
        <v>1696</v>
      </c>
      <c r="AZ414" s="80" t="s">
        <v>1744</v>
      </c>
      <c r="BA414" s="77" t="s">
        <v>1777</v>
      </c>
      <c r="BC414" s="35">
        <f>AW414+AX414</f>
        <v>1100</v>
      </c>
      <c r="BD414" s="35">
        <f>I414/(100-BE414)*100</f>
        <v>275</v>
      </c>
      <c r="BE414" s="35">
        <v>0</v>
      </c>
      <c r="BF414" s="35">
        <f>414</f>
        <v>414</v>
      </c>
      <c r="BH414" s="64">
        <f>H414*AO414</f>
        <v>0</v>
      </c>
      <c r="BI414" s="64">
        <f>H414*AP414</f>
        <v>1100</v>
      </c>
      <c r="BJ414" s="64">
        <f>H414*I414</f>
        <v>1100</v>
      </c>
      <c r="BK414" s="64" t="s">
        <v>1790</v>
      </c>
      <c r="BL414" s="35">
        <v>734</v>
      </c>
    </row>
    <row r="415" spans="1:64">
      <c r="A415" s="19"/>
      <c r="C415" s="59" t="s">
        <v>730</v>
      </c>
      <c r="D415" s="167" t="s">
        <v>1406</v>
      </c>
      <c r="E415" s="168"/>
      <c r="F415" s="168"/>
      <c r="G415" s="168"/>
      <c r="H415" s="168"/>
      <c r="I415" s="168"/>
      <c r="J415" s="168"/>
      <c r="K415" s="168"/>
      <c r="L415" s="168"/>
      <c r="M415" s="169"/>
      <c r="N415" s="19"/>
    </row>
    <row r="416" spans="1:64">
      <c r="A416" s="47" t="s">
        <v>455</v>
      </c>
      <c r="B416" s="55" t="s">
        <v>64</v>
      </c>
      <c r="C416" s="55" t="s">
        <v>955</v>
      </c>
      <c r="D416" s="165" t="s">
        <v>1407</v>
      </c>
      <c r="E416" s="166"/>
      <c r="F416" s="166"/>
      <c r="G416" s="55" t="s">
        <v>1641</v>
      </c>
      <c r="H416" s="64">
        <v>4</v>
      </c>
      <c r="I416" s="64">
        <v>159.5</v>
      </c>
      <c r="J416" s="64">
        <f>H416*AO416</f>
        <v>0</v>
      </c>
      <c r="K416" s="64">
        <f>H416*AP416</f>
        <v>638</v>
      </c>
      <c r="L416" s="64">
        <f>H416*I416</f>
        <v>638</v>
      </c>
      <c r="M416" s="73" t="s">
        <v>1660</v>
      </c>
      <c r="N416" s="19"/>
      <c r="Z416" s="35">
        <f>IF(AQ416="5",BJ416,0)</f>
        <v>0</v>
      </c>
      <c r="AB416" s="35">
        <f>IF(AQ416="1",BH416,0)</f>
        <v>0</v>
      </c>
      <c r="AC416" s="35">
        <f>IF(AQ416="1",BI416,0)</f>
        <v>0</v>
      </c>
      <c r="AD416" s="35">
        <f>IF(AQ416="7",BH416,0)</f>
        <v>0</v>
      </c>
      <c r="AE416" s="35">
        <f>IF(AQ416="7",BI416,0)</f>
        <v>638</v>
      </c>
      <c r="AF416" s="35">
        <f>IF(AQ416="2",BH416,0)</f>
        <v>0</v>
      </c>
      <c r="AG416" s="35">
        <f>IF(AQ416="2",BI416,0)</f>
        <v>0</v>
      </c>
      <c r="AH416" s="35">
        <f>IF(AQ416="0",BJ416,0)</f>
        <v>0</v>
      </c>
      <c r="AI416" s="77" t="s">
        <v>64</v>
      </c>
      <c r="AJ416" s="64">
        <f>IF(AN416=0,L416,0)</f>
        <v>0</v>
      </c>
      <c r="AK416" s="64">
        <f>IF(AN416=15,L416,0)</f>
        <v>0</v>
      </c>
      <c r="AL416" s="64">
        <f>IF(AN416=21,L416,0)</f>
        <v>638</v>
      </c>
      <c r="AN416" s="35">
        <v>21</v>
      </c>
      <c r="AO416" s="35">
        <f>I416*0</f>
        <v>0</v>
      </c>
      <c r="AP416" s="35">
        <f>I416*(1-0)</f>
        <v>159.5</v>
      </c>
      <c r="AQ416" s="78" t="s">
        <v>235</v>
      </c>
      <c r="AV416" s="35">
        <f>AW416+AX416</f>
        <v>638</v>
      </c>
      <c r="AW416" s="35">
        <f>H416*AO416</f>
        <v>0</v>
      </c>
      <c r="AX416" s="35">
        <f>H416*AP416</f>
        <v>638</v>
      </c>
      <c r="AY416" s="80" t="s">
        <v>1696</v>
      </c>
      <c r="AZ416" s="80" t="s">
        <v>1744</v>
      </c>
      <c r="BA416" s="77" t="s">
        <v>1777</v>
      </c>
      <c r="BC416" s="35">
        <f>AW416+AX416</f>
        <v>638</v>
      </c>
      <c r="BD416" s="35">
        <f>I416/(100-BE416)*100</f>
        <v>159.5</v>
      </c>
      <c r="BE416" s="35">
        <v>0</v>
      </c>
      <c r="BF416" s="35">
        <f>416</f>
        <v>416</v>
      </c>
      <c r="BH416" s="64">
        <f>H416*AO416</f>
        <v>0</v>
      </c>
      <c r="BI416" s="64">
        <f>H416*AP416</f>
        <v>638</v>
      </c>
      <c r="BJ416" s="64">
        <f>H416*I416</f>
        <v>638</v>
      </c>
      <c r="BK416" s="64" t="s">
        <v>1790</v>
      </c>
      <c r="BL416" s="35">
        <v>734</v>
      </c>
    </row>
    <row r="417" spans="1:64">
      <c r="A417" s="19"/>
      <c r="C417" s="59" t="s">
        <v>730</v>
      </c>
      <c r="D417" s="167" t="s">
        <v>1408</v>
      </c>
      <c r="E417" s="168"/>
      <c r="F417" s="168"/>
      <c r="G417" s="168"/>
      <c r="H417" s="168"/>
      <c r="I417" s="168"/>
      <c r="J417" s="168"/>
      <c r="K417" s="168"/>
      <c r="L417" s="168"/>
      <c r="M417" s="169"/>
      <c r="N417" s="19"/>
    </row>
    <row r="418" spans="1:64">
      <c r="A418" s="47" t="s">
        <v>456</v>
      </c>
      <c r="B418" s="55" t="s">
        <v>64</v>
      </c>
      <c r="C418" s="55" t="s">
        <v>956</v>
      </c>
      <c r="D418" s="165" t="s">
        <v>1409</v>
      </c>
      <c r="E418" s="166"/>
      <c r="F418" s="166"/>
      <c r="G418" s="55" t="s">
        <v>1641</v>
      </c>
      <c r="H418" s="64">
        <v>1</v>
      </c>
      <c r="I418" s="64">
        <v>146.30000000000001</v>
      </c>
      <c r="J418" s="64">
        <f>H418*AO418</f>
        <v>0</v>
      </c>
      <c r="K418" s="64">
        <f>H418*AP418</f>
        <v>146.30000000000001</v>
      </c>
      <c r="L418" s="64">
        <f>H418*I418</f>
        <v>146.30000000000001</v>
      </c>
      <c r="M418" s="73"/>
      <c r="N418" s="19"/>
      <c r="Z418" s="35">
        <f>IF(AQ418="5",BJ418,0)</f>
        <v>0</v>
      </c>
      <c r="AB418" s="35">
        <f>IF(AQ418="1",BH418,0)</f>
        <v>0</v>
      </c>
      <c r="AC418" s="35">
        <f>IF(AQ418="1",BI418,0)</f>
        <v>0</v>
      </c>
      <c r="AD418" s="35">
        <f>IF(AQ418="7",BH418,0)</f>
        <v>0</v>
      </c>
      <c r="AE418" s="35">
        <f>IF(AQ418="7",BI418,0)</f>
        <v>146.30000000000001</v>
      </c>
      <c r="AF418" s="35">
        <f>IF(AQ418="2",BH418,0)</f>
        <v>0</v>
      </c>
      <c r="AG418" s="35">
        <f>IF(AQ418="2",BI418,0)</f>
        <v>0</v>
      </c>
      <c r="AH418" s="35">
        <f>IF(AQ418="0",BJ418,0)</f>
        <v>0</v>
      </c>
      <c r="AI418" s="77" t="s">
        <v>64</v>
      </c>
      <c r="AJ418" s="64">
        <f>IF(AN418=0,L418,0)</f>
        <v>0</v>
      </c>
      <c r="AK418" s="64">
        <f>IF(AN418=15,L418,0)</f>
        <v>0</v>
      </c>
      <c r="AL418" s="64">
        <f>IF(AN418=21,L418,0)</f>
        <v>146.30000000000001</v>
      </c>
      <c r="AN418" s="35">
        <v>21</v>
      </c>
      <c r="AO418" s="35">
        <f>I418*0</f>
        <v>0</v>
      </c>
      <c r="AP418" s="35">
        <f>I418*(1-0)</f>
        <v>146.30000000000001</v>
      </c>
      <c r="AQ418" s="78" t="s">
        <v>235</v>
      </c>
      <c r="AV418" s="35">
        <f>AW418+AX418</f>
        <v>146.30000000000001</v>
      </c>
      <c r="AW418" s="35">
        <f>H418*AO418</f>
        <v>0</v>
      </c>
      <c r="AX418" s="35">
        <f>H418*AP418</f>
        <v>146.30000000000001</v>
      </c>
      <c r="AY418" s="80" t="s">
        <v>1696</v>
      </c>
      <c r="AZ418" s="80" t="s">
        <v>1744</v>
      </c>
      <c r="BA418" s="77" t="s">
        <v>1777</v>
      </c>
      <c r="BC418" s="35">
        <f>AW418+AX418</f>
        <v>146.30000000000001</v>
      </c>
      <c r="BD418" s="35">
        <f>I418/(100-BE418)*100</f>
        <v>146.30000000000001</v>
      </c>
      <c r="BE418" s="35">
        <v>0</v>
      </c>
      <c r="BF418" s="35">
        <f>418</f>
        <v>418</v>
      </c>
      <c r="BH418" s="64">
        <f>H418*AO418</f>
        <v>0</v>
      </c>
      <c r="BI418" s="64">
        <f>H418*AP418</f>
        <v>146.30000000000001</v>
      </c>
      <c r="BJ418" s="64">
        <f>H418*I418</f>
        <v>146.30000000000001</v>
      </c>
      <c r="BK418" s="64" t="s">
        <v>1790</v>
      </c>
      <c r="BL418" s="35">
        <v>734</v>
      </c>
    </row>
    <row r="419" spans="1:64">
      <c r="A419" s="19"/>
      <c r="C419" s="59" t="s">
        <v>730</v>
      </c>
      <c r="D419" s="167" t="s">
        <v>1410</v>
      </c>
      <c r="E419" s="168"/>
      <c r="F419" s="168"/>
      <c r="G419" s="168"/>
      <c r="H419" s="168"/>
      <c r="I419" s="168"/>
      <c r="J419" s="168"/>
      <c r="K419" s="168"/>
      <c r="L419" s="168"/>
      <c r="M419" s="169"/>
      <c r="N419" s="19"/>
    </row>
    <row r="420" spans="1:64">
      <c r="A420" s="47" t="s">
        <v>457</v>
      </c>
      <c r="B420" s="55" t="s">
        <v>64</v>
      </c>
      <c r="C420" s="55" t="s">
        <v>924</v>
      </c>
      <c r="D420" s="165" t="s">
        <v>1356</v>
      </c>
      <c r="E420" s="166"/>
      <c r="F420" s="166"/>
      <c r="G420" s="55" t="s">
        <v>1644</v>
      </c>
      <c r="H420" s="64">
        <v>297.22000000000003</v>
      </c>
      <c r="I420" s="64">
        <v>0.37</v>
      </c>
      <c r="J420" s="64">
        <f>H420*AO420</f>
        <v>0</v>
      </c>
      <c r="K420" s="64">
        <f>H420*AP420</f>
        <v>109.9714</v>
      </c>
      <c r="L420" s="64">
        <f>H420*I420</f>
        <v>109.9714</v>
      </c>
      <c r="M420" s="73" t="s">
        <v>1660</v>
      </c>
      <c r="N420" s="19"/>
      <c r="Z420" s="35">
        <f>IF(AQ420="5",BJ420,0)</f>
        <v>0</v>
      </c>
      <c r="AB420" s="35">
        <f>IF(AQ420="1",BH420,0)</f>
        <v>0</v>
      </c>
      <c r="AC420" s="35">
        <f>IF(AQ420="1",BI420,0)</f>
        <v>0</v>
      </c>
      <c r="AD420" s="35">
        <f>IF(AQ420="7",BH420,0)</f>
        <v>0</v>
      </c>
      <c r="AE420" s="35">
        <f>IF(AQ420="7",BI420,0)</f>
        <v>109.9714</v>
      </c>
      <c r="AF420" s="35">
        <f>IF(AQ420="2",BH420,0)</f>
        <v>0</v>
      </c>
      <c r="AG420" s="35">
        <f>IF(AQ420="2",BI420,0)</f>
        <v>0</v>
      </c>
      <c r="AH420" s="35">
        <f>IF(AQ420="0",BJ420,0)</f>
        <v>0</v>
      </c>
      <c r="AI420" s="77" t="s">
        <v>64</v>
      </c>
      <c r="AJ420" s="64">
        <f>IF(AN420=0,L420,0)</f>
        <v>0</v>
      </c>
      <c r="AK420" s="64">
        <f>IF(AN420=15,L420,0)</f>
        <v>0</v>
      </c>
      <c r="AL420" s="64">
        <f>IF(AN420=21,L420,0)</f>
        <v>109.9714</v>
      </c>
      <c r="AN420" s="35">
        <v>21</v>
      </c>
      <c r="AO420" s="35">
        <f>I420*0</f>
        <v>0</v>
      </c>
      <c r="AP420" s="35">
        <f>I420*(1-0)</f>
        <v>0.37</v>
      </c>
      <c r="AQ420" s="78" t="s">
        <v>235</v>
      </c>
      <c r="AV420" s="35">
        <f>AW420+AX420</f>
        <v>109.9714</v>
      </c>
      <c r="AW420" s="35">
        <f>H420*AO420</f>
        <v>0</v>
      </c>
      <c r="AX420" s="35">
        <f>H420*AP420</f>
        <v>109.9714</v>
      </c>
      <c r="AY420" s="80" t="s">
        <v>1696</v>
      </c>
      <c r="AZ420" s="80" t="s">
        <v>1744</v>
      </c>
      <c r="BA420" s="77" t="s">
        <v>1777</v>
      </c>
      <c r="BC420" s="35">
        <f>AW420+AX420</f>
        <v>109.9714</v>
      </c>
      <c r="BD420" s="35">
        <f>I420/(100-BE420)*100</f>
        <v>0.37</v>
      </c>
      <c r="BE420" s="35">
        <v>0</v>
      </c>
      <c r="BF420" s="35">
        <f>420</f>
        <v>420</v>
      </c>
      <c r="BH420" s="64">
        <f>H420*AO420</f>
        <v>0</v>
      </c>
      <c r="BI420" s="64">
        <f>H420*AP420</f>
        <v>109.9714</v>
      </c>
      <c r="BJ420" s="64">
        <f>H420*I420</f>
        <v>109.9714</v>
      </c>
      <c r="BK420" s="64" t="s">
        <v>1790</v>
      </c>
      <c r="BL420" s="35">
        <v>734</v>
      </c>
    </row>
    <row r="421" spans="1:64">
      <c r="A421" s="19"/>
      <c r="C421" s="59" t="s">
        <v>730</v>
      </c>
      <c r="D421" s="167" t="s">
        <v>1357</v>
      </c>
      <c r="E421" s="168"/>
      <c r="F421" s="168"/>
      <c r="G421" s="168"/>
      <c r="H421" s="168"/>
      <c r="I421" s="168"/>
      <c r="J421" s="168"/>
      <c r="K421" s="168"/>
      <c r="L421" s="168"/>
      <c r="M421" s="169"/>
      <c r="N421" s="19"/>
    </row>
    <row r="422" spans="1:64">
      <c r="A422" s="46"/>
      <c r="B422" s="54" t="s">
        <v>64</v>
      </c>
      <c r="C422" s="54" t="s">
        <v>159</v>
      </c>
      <c r="D422" s="163" t="s">
        <v>40</v>
      </c>
      <c r="E422" s="164"/>
      <c r="F422" s="164"/>
      <c r="G422" s="61" t="s">
        <v>57</v>
      </c>
      <c r="H422" s="61" t="s">
        <v>57</v>
      </c>
      <c r="I422" s="61" t="s">
        <v>57</v>
      </c>
      <c r="J422" s="83">
        <f>SUM(J423:J425)</f>
        <v>0</v>
      </c>
      <c r="K422" s="83">
        <f>SUM(K423:K425)</f>
        <v>6000</v>
      </c>
      <c r="L422" s="83">
        <f>SUM(L423:L425)</f>
        <v>6000</v>
      </c>
      <c r="M422" s="72"/>
      <c r="N422" s="19"/>
      <c r="AI422" s="77" t="s">
        <v>64</v>
      </c>
      <c r="AS422" s="83">
        <f>SUM(AJ423:AJ425)</f>
        <v>0</v>
      </c>
      <c r="AT422" s="83">
        <f>SUM(AK423:AK425)</f>
        <v>0</v>
      </c>
      <c r="AU422" s="83">
        <f>SUM(AL423:AL425)</f>
        <v>6000</v>
      </c>
    </row>
    <row r="423" spans="1:64">
      <c r="A423" s="47" t="s">
        <v>458</v>
      </c>
      <c r="B423" s="55" t="s">
        <v>64</v>
      </c>
      <c r="C423" s="55" t="s">
        <v>908</v>
      </c>
      <c r="D423" s="165" t="s">
        <v>1411</v>
      </c>
      <c r="E423" s="166"/>
      <c r="F423" s="166"/>
      <c r="G423" s="55" t="s">
        <v>1646</v>
      </c>
      <c r="H423" s="64">
        <v>6</v>
      </c>
      <c r="I423" s="64">
        <v>500</v>
      </c>
      <c r="J423" s="64">
        <f>H423*AO423</f>
        <v>0</v>
      </c>
      <c r="K423" s="64">
        <f>H423*AP423</f>
        <v>3000</v>
      </c>
      <c r="L423" s="64">
        <f>H423*I423</f>
        <v>3000</v>
      </c>
      <c r="M423" s="73"/>
      <c r="N423" s="19"/>
      <c r="Z423" s="35">
        <f>IF(AQ423="5",BJ423,0)</f>
        <v>0</v>
      </c>
      <c r="AB423" s="35">
        <f>IF(AQ423="1",BH423,0)</f>
        <v>0</v>
      </c>
      <c r="AC423" s="35">
        <f>IF(AQ423="1",BI423,0)</f>
        <v>3000</v>
      </c>
      <c r="AD423" s="35">
        <f>IF(AQ423="7",BH423,0)</f>
        <v>0</v>
      </c>
      <c r="AE423" s="35">
        <f>IF(AQ423="7",BI423,0)</f>
        <v>0</v>
      </c>
      <c r="AF423" s="35">
        <f>IF(AQ423="2",BH423,0)</f>
        <v>0</v>
      </c>
      <c r="AG423" s="35">
        <f>IF(AQ423="2",BI423,0)</f>
        <v>0</v>
      </c>
      <c r="AH423" s="35">
        <f>IF(AQ423="0",BJ423,0)</f>
        <v>0</v>
      </c>
      <c r="AI423" s="77" t="s">
        <v>64</v>
      </c>
      <c r="AJ423" s="64">
        <f>IF(AN423=0,L423,0)</f>
        <v>0</v>
      </c>
      <c r="AK423" s="64">
        <f>IF(AN423=15,L423,0)</f>
        <v>0</v>
      </c>
      <c r="AL423" s="64">
        <f>IF(AN423=21,L423,0)</f>
        <v>3000</v>
      </c>
      <c r="AN423" s="35">
        <v>21</v>
      </c>
      <c r="AO423" s="35">
        <f>I423*0</f>
        <v>0</v>
      </c>
      <c r="AP423" s="35">
        <f>I423*(1-0)</f>
        <v>500</v>
      </c>
      <c r="AQ423" s="78" t="s">
        <v>109</v>
      </c>
      <c r="AV423" s="35">
        <f>AW423+AX423</f>
        <v>3000</v>
      </c>
      <c r="AW423" s="35">
        <f>H423*AO423</f>
        <v>0</v>
      </c>
      <c r="AX423" s="35">
        <f>H423*AP423</f>
        <v>3000</v>
      </c>
      <c r="AY423" s="80" t="s">
        <v>1698</v>
      </c>
      <c r="AZ423" s="80" t="s">
        <v>1745</v>
      </c>
      <c r="BA423" s="77" t="s">
        <v>1777</v>
      </c>
      <c r="BC423" s="35">
        <f>AW423+AX423</f>
        <v>3000</v>
      </c>
      <c r="BD423" s="35">
        <f>I423/(100-BE423)*100</f>
        <v>500</v>
      </c>
      <c r="BE423" s="35">
        <v>0</v>
      </c>
      <c r="BF423" s="35">
        <f>423</f>
        <v>423</v>
      </c>
      <c r="BH423" s="64">
        <f>H423*AO423</f>
        <v>0</v>
      </c>
      <c r="BI423" s="64">
        <f>H423*AP423</f>
        <v>3000</v>
      </c>
      <c r="BJ423" s="64">
        <f>H423*I423</f>
        <v>3000</v>
      </c>
      <c r="BK423" s="64" t="s">
        <v>1790</v>
      </c>
      <c r="BL423" s="35" t="s">
        <v>159</v>
      </c>
    </row>
    <row r="424" spans="1:64">
      <c r="A424" s="19"/>
      <c r="C424" s="59" t="s">
        <v>730</v>
      </c>
      <c r="D424" s="167" t="s">
        <v>1411</v>
      </c>
      <c r="E424" s="168"/>
      <c r="F424" s="168"/>
      <c r="G424" s="168"/>
      <c r="H424" s="168"/>
      <c r="I424" s="168"/>
      <c r="J424" s="168"/>
      <c r="K424" s="168"/>
      <c r="L424" s="168"/>
      <c r="M424" s="169"/>
      <c r="N424" s="19"/>
    </row>
    <row r="425" spans="1:64">
      <c r="A425" s="47" t="s">
        <v>459</v>
      </c>
      <c r="B425" s="55" t="s">
        <v>64</v>
      </c>
      <c r="C425" s="55" t="s">
        <v>930</v>
      </c>
      <c r="D425" s="165" t="s">
        <v>1412</v>
      </c>
      <c r="E425" s="166"/>
      <c r="F425" s="166"/>
      <c r="G425" s="55" t="s">
        <v>1643</v>
      </c>
      <c r="H425" s="64">
        <v>1</v>
      </c>
      <c r="I425" s="64">
        <v>3000</v>
      </c>
      <c r="J425" s="64">
        <f>H425*AO425</f>
        <v>0</v>
      </c>
      <c r="K425" s="64">
        <f>H425*AP425</f>
        <v>3000</v>
      </c>
      <c r="L425" s="64">
        <f>H425*I425</f>
        <v>3000</v>
      </c>
      <c r="M425" s="73"/>
      <c r="N425" s="19"/>
      <c r="Z425" s="35">
        <f>IF(AQ425="5",BJ425,0)</f>
        <v>0</v>
      </c>
      <c r="AB425" s="35">
        <f>IF(AQ425="1",BH425,0)</f>
        <v>0</v>
      </c>
      <c r="AC425" s="35">
        <f>IF(AQ425="1",BI425,0)</f>
        <v>3000</v>
      </c>
      <c r="AD425" s="35">
        <f>IF(AQ425="7",BH425,0)</f>
        <v>0</v>
      </c>
      <c r="AE425" s="35">
        <f>IF(AQ425="7",BI425,0)</f>
        <v>0</v>
      </c>
      <c r="AF425" s="35">
        <f>IF(AQ425="2",BH425,0)</f>
        <v>0</v>
      </c>
      <c r="AG425" s="35">
        <f>IF(AQ425="2",BI425,0)</f>
        <v>0</v>
      </c>
      <c r="AH425" s="35">
        <f>IF(AQ425="0",BJ425,0)</f>
        <v>0</v>
      </c>
      <c r="AI425" s="77" t="s">
        <v>64</v>
      </c>
      <c r="AJ425" s="64">
        <f>IF(AN425=0,L425,0)</f>
        <v>0</v>
      </c>
      <c r="AK425" s="64">
        <f>IF(AN425=15,L425,0)</f>
        <v>0</v>
      </c>
      <c r="AL425" s="64">
        <f>IF(AN425=21,L425,0)</f>
        <v>3000</v>
      </c>
      <c r="AN425" s="35">
        <v>21</v>
      </c>
      <c r="AO425" s="35">
        <f>I425*0</f>
        <v>0</v>
      </c>
      <c r="AP425" s="35">
        <f>I425*(1-0)</f>
        <v>3000</v>
      </c>
      <c r="AQ425" s="78" t="s">
        <v>109</v>
      </c>
      <c r="AV425" s="35">
        <f>AW425+AX425</f>
        <v>3000</v>
      </c>
      <c r="AW425" s="35">
        <f>H425*AO425</f>
        <v>0</v>
      </c>
      <c r="AX425" s="35">
        <f>H425*AP425</f>
        <v>3000</v>
      </c>
      <c r="AY425" s="80" t="s">
        <v>1698</v>
      </c>
      <c r="AZ425" s="80" t="s">
        <v>1745</v>
      </c>
      <c r="BA425" s="77" t="s">
        <v>1777</v>
      </c>
      <c r="BC425" s="35">
        <f>AW425+AX425</f>
        <v>3000</v>
      </c>
      <c r="BD425" s="35">
        <f>I425/(100-BE425)*100</f>
        <v>3000</v>
      </c>
      <c r="BE425" s="35">
        <v>0</v>
      </c>
      <c r="BF425" s="35">
        <f>425</f>
        <v>425</v>
      </c>
      <c r="BH425" s="64">
        <f>H425*AO425</f>
        <v>0</v>
      </c>
      <c r="BI425" s="64">
        <f>H425*AP425</f>
        <v>3000</v>
      </c>
      <c r="BJ425" s="64">
        <f>H425*I425</f>
        <v>3000</v>
      </c>
      <c r="BK425" s="64" t="s">
        <v>1790</v>
      </c>
      <c r="BL425" s="35" t="s">
        <v>159</v>
      </c>
    </row>
    <row r="426" spans="1:64">
      <c r="A426" s="19"/>
      <c r="C426" s="59" t="s">
        <v>730</v>
      </c>
      <c r="D426" s="167" t="s">
        <v>1412</v>
      </c>
      <c r="E426" s="168"/>
      <c r="F426" s="168"/>
      <c r="G426" s="168"/>
      <c r="H426" s="168"/>
      <c r="I426" s="168"/>
      <c r="J426" s="168"/>
      <c r="K426" s="168"/>
      <c r="L426" s="168"/>
      <c r="M426" s="169"/>
      <c r="N426" s="19"/>
    </row>
    <row r="427" spans="1:64">
      <c r="A427" s="46"/>
      <c r="B427" s="54" t="s">
        <v>64</v>
      </c>
      <c r="C427" s="54" t="s">
        <v>160</v>
      </c>
      <c r="D427" s="163" t="s">
        <v>210</v>
      </c>
      <c r="E427" s="164"/>
      <c r="F427" s="164"/>
      <c r="G427" s="61" t="s">
        <v>57</v>
      </c>
      <c r="H427" s="61" t="s">
        <v>57</v>
      </c>
      <c r="I427" s="61" t="s">
        <v>57</v>
      </c>
      <c r="J427" s="83">
        <f>SUM(J428:J434)</f>
        <v>0</v>
      </c>
      <c r="K427" s="83">
        <f>SUM(K428:K434)</f>
        <v>755.55</v>
      </c>
      <c r="L427" s="83">
        <f>SUM(L428:L434)</f>
        <v>755.55</v>
      </c>
      <c r="M427" s="72"/>
      <c r="N427" s="19"/>
      <c r="AI427" s="77" t="s">
        <v>64</v>
      </c>
      <c r="AS427" s="83">
        <f>SUM(AJ428:AJ434)</f>
        <v>0</v>
      </c>
      <c r="AT427" s="83">
        <f>SUM(AK428:AK434)</f>
        <v>0</v>
      </c>
      <c r="AU427" s="83">
        <f>SUM(AL428:AL434)</f>
        <v>755.55</v>
      </c>
    </row>
    <row r="428" spans="1:64">
      <c r="A428" s="47" t="s">
        <v>460</v>
      </c>
      <c r="B428" s="55" t="s">
        <v>64</v>
      </c>
      <c r="C428" s="55" t="s">
        <v>957</v>
      </c>
      <c r="D428" s="165" t="s">
        <v>1413</v>
      </c>
      <c r="E428" s="166"/>
      <c r="F428" s="166"/>
      <c r="G428" s="55" t="s">
        <v>1640</v>
      </c>
      <c r="H428" s="64">
        <v>1</v>
      </c>
      <c r="I428" s="64">
        <v>150</v>
      </c>
      <c r="J428" s="64">
        <f>H428*AO428</f>
        <v>0</v>
      </c>
      <c r="K428" s="64">
        <f>H428*AP428</f>
        <v>150</v>
      </c>
      <c r="L428" s="64">
        <f>H428*I428</f>
        <v>150</v>
      </c>
      <c r="M428" s="73"/>
      <c r="N428" s="19"/>
      <c r="Z428" s="35">
        <f>IF(AQ428="5",BJ428,0)</f>
        <v>0</v>
      </c>
      <c r="AB428" s="35">
        <f>IF(AQ428="1",BH428,0)</f>
        <v>0</v>
      </c>
      <c r="AC428" s="35">
        <f>IF(AQ428="1",BI428,0)</f>
        <v>0</v>
      </c>
      <c r="AD428" s="35">
        <f>IF(AQ428="7",BH428,0)</f>
        <v>0</v>
      </c>
      <c r="AE428" s="35">
        <f>IF(AQ428="7",BI428,0)</f>
        <v>150</v>
      </c>
      <c r="AF428" s="35">
        <f>IF(AQ428="2",BH428,0)</f>
        <v>0</v>
      </c>
      <c r="AG428" s="35">
        <f>IF(AQ428="2",BI428,0)</f>
        <v>0</v>
      </c>
      <c r="AH428" s="35">
        <f>IF(AQ428="0",BJ428,0)</f>
        <v>0</v>
      </c>
      <c r="AI428" s="77" t="s">
        <v>64</v>
      </c>
      <c r="AJ428" s="64">
        <f>IF(AN428=0,L428,0)</f>
        <v>0</v>
      </c>
      <c r="AK428" s="64">
        <f>IF(AN428=15,L428,0)</f>
        <v>0</v>
      </c>
      <c r="AL428" s="64">
        <f>IF(AN428=21,L428,0)</f>
        <v>150</v>
      </c>
      <c r="AN428" s="35">
        <v>21</v>
      </c>
      <c r="AO428" s="35">
        <f>I428*0</f>
        <v>0</v>
      </c>
      <c r="AP428" s="35">
        <f>I428*(1-0)</f>
        <v>150</v>
      </c>
      <c r="AQ428" s="78" t="s">
        <v>235</v>
      </c>
      <c r="AV428" s="35">
        <f>AW428+AX428</f>
        <v>150</v>
      </c>
      <c r="AW428" s="35">
        <f>H428*AO428</f>
        <v>0</v>
      </c>
      <c r="AX428" s="35">
        <f>H428*AP428</f>
        <v>150</v>
      </c>
      <c r="AY428" s="80" t="s">
        <v>1699</v>
      </c>
      <c r="AZ428" s="80" t="s">
        <v>1746</v>
      </c>
      <c r="BA428" s="77" t="s">
        <v>1777</v>
      </c>
      <c r="BC428" s="35">
        <f>AW428+AX428</f>
        <v>150</v>
      </c>
      <c r="BD428" s="35">
        <f>I428/(100-BE428)*100</f>
        <v>150</v>
      </c>
      <c r="BE428" s="35">
        <v>0</v>
      </c>
      <c r="BF428" s="35">
        <f>428</f>
        <v>428</v>
      </c>
      <c r="BH428" s="64">
        <f>H428*AO428</f>
        <v>0</v>
      </c>
      <c r="BI428" s="64">
        <f>H428*AP428</f>
        <v>150</v>
      </c>
      <c r="BJ428" s="64">
        <f>H428*I428</f>
        <v>150</v>
      </c>
      <c r="BK428" s="64" t="s">
        <v>1790</v>
      </c>
      <c r="BL428" s="35">
        <v>742</v>
      </c>
    </row>
    <row r="429" spans="1:64">
      <c r="A429" s="19"/>
      <c r="C429" s="59" t="s">
        <v>730</v>
      </c>
      <c r="D429" s="167" t="s">
        <v>1413</v>
      </c>
      <c r="E429" s="168"/>
      <c r="F429" s="168"/>
      <c r="G429" s="168"/>
      <c r="H429" s="168"/>
      <c r="I429" s="168"/>
      <c r="J429" s="168"/>
      <c r="K429" s="168"/>
      <c r="L429" s="168"/>
      <c r="M429" s="169"/>
      <c r="N429" s="19"/>
    </row>
    <row r="430" spans="1:64">
      <c r="A430" s="47" t="s">
        <v>461</v>
      </c>
      <c r="B430" s="55" t="s">
        <v>64</v>
      </c>
      <c r="C430" s="55" t="s">
        <v>958</v>
      </c>
      <c r="D430" s="165" t="s">
        <v>1414</v>
      </c>
      <c r="E430" s="166"/>
      <c r="F430" s="166"/>
      <c r="G430" s="55" t="s">
        <v>1640</v>
      </c>
      <c r="H430" s="64">
        <v>1</v>
      </c>
      <c r="I430" s="64">
        <v>300</v>
      </c>
      <c r="J430" s="64">
        <f>H430*AO430</f>
        <v>0</v>
      </c>
      <c r="K430" s="64">
        <f>H430*AP430</f>
        <v>300</v>
      </c>
      <c r="L430" s="64">
        <f>H430*I430</f>
        <v>300</v>
      </c>
      <c r="M430" s="73"/>
      <c r="N430" s="19"/>
      <c r="Z430" s="35">
        <f>IF(AQ430="5",BJ430,0)</f>
        <v>0</v>
      </c>
      <c r="AB430" s="35">
        <f>IF(AQ430="1",BH430,0)</f>
        <v>0</v>
      </c>
      <c r="AC430" s="35">
        <f>IF(AQ430="1",BI430,0)</f>
        <v>0</v>
      </c>
      <c r="AD430" s="35">
        <f>IF(AQ430="7",BH430,0)</f>
        <v>0</v>
      </c>
      <c r="AE430" s="35">
        <f>IF(AQ430="7",BI430,0)</f>
        <v>300</v>
      </c>
      <c r="AF430" s="35">
        <f>IF(AQ430="2",BH430,0)</f>
        <v>0</v>
      </c>
      <c r="AG430" s="35">
        <f>IF(AQ430="2",BI430,0)</f>
        <v>0</v>
      </c>
      <c r="AH430" s="35">
        <f>IF(AQ430="0",BJ430,0)</f>
        <v>0</v>
      </c>
      <c r="AI430" s="77" t="s">
        <v>64</v>
      </c>
      <c r="AJ430" s="64">
        <f>IF(AN430=0,L430,0)</f>
        <v>0</v>
      </c>
      <c r="AK430" s="64">
        <f>IF(AN430=15,L430,0)</f>
        <v>0</v>
      </c>
      <c r="AL430" s="64">
        <f>IF(AN430=21,L430,0)</f>
        <v>300</v>
      </c>
      <c r="AN430" s="35">
        <v>21</v>
      </c>
      <c r="AO430" s="35">
        <f>I430*0</f>
        <v>0</v>
      </c>
      <c r="AP430" s="35">
        <f>I430*(1-0)</f>
        <v>300</v>
      </c>
      <c r="AQ430" s="78" t="s">
        <v>235</v>
      </c>
      <c r="AV430" s="35">
        <f>AW430+AX430</f>
        <v>300</v>
      </c>
      <c r="AW430" s="35">
        <f>H430*AO430</f>
        <v>0</v>
      </c>
      <c r="AX430" s="35">
        <f>H430*AP430</f>
        <v>300</v>
      </c>
      <c r="AY430" s="80" t="s">
        <v>1699</v>
      </c>
      <c r="AZ430" s="80" t="s">
        <v>1746</v>
      </c>
      <c r="BA430" s="77" t="s">
        <v>1777</v>
      </c>
      <c r="BC430" s="35">
        <f>AW430+AX430</f>
        <v>300</v>
      </c>
      <c r="BD430" s="35">
        <f>I430/(100-BE430)*100</f>
        <v>300</v>
      </c>
      <c r="BE430" s="35">
        <v>0</v>
      </c>
      <c r="BF430" s="35">
        <f>430</f>
        <v>430</v>
      </c>
      <c r="BH430" s="64">
        <f>H430*AO430</f>
        <v>0</v>
      </c>
      <c r="BI430" s="64">
        <f>H430*AP430</f>
        <v>300</v>
      </c>
      <c r="BJ430" s="64">
        <f>H430*I430</f>
        <v>300</v>
      </c>
      <c r="BK430" s="64" t="s">
        <v>1790</v>
      </c>
      <c r="BL430" s="35">
        <v>742</v>
      </c>
    </row>
    <row r="431" spans="1:64">
      <c r="A431" s="19"/>
      <c r="C431" s="59" t="s">
        <v>730</v>
      </c>
      <c r="D431" s="167" t="s">
        <v>1415</v>
      </c>
      <c r="E431" s="168"/>
      <c r="F431" s="168"/>
      <c r="G431" s="168"/>
      <c r="H431" s="168"/>
      <c r="I431" s="168"/>
      <c r="J431" s="168"/>
      <c r="K431" s="168"/>
      <c r="L431" s="168"/>
      <c r="M431" s="169"/>
      <c r="N431" s="19"/>
    </row>
    <row r="432" spans="1:64">
      <c r="A432" s="47" t="s">
        <v>462</v>
      </c>
      <c r="B432" s="55" t="s">
        <v>64</v>
      </c>
      <c r="C432" s="55" t="s">
        <v>959</v>
      </c>
      <c r="D432" s="165" t="s">
        <v>1416</v>
      </c>
      <c r="E432" s="166"/>
      <c r="F432" s="166"/>
      <c r="G432" s="55" t="s">
        <v>1640</v>
      </c>
      <c r="H432" s="64">
        <v>1</v>
      </c>
      <c r="I432" s="64">
        <v>300</v>
      </c>
      <c r="J432" s="64">
        <f>H432*AO432</f>
        <v>0</v>
      </c>
      <c r="K432" s="64">
        <f>H432*AP432</f>
        <v>300</v>
      </c>
      <c r="L432" s="64">
        <f>H432*I432</f>
        <v>300</v>
      </c>
      <c r="M432" s="73"/>
      <c r="N432" s="19"/>
      <c r="Z432" s="35">
        <f>IF(AQ432="5",BJ432,0)</f>
        <v>0</v>
      </c>
      <c r="AB432" s="35">
        <f>IF(AQ432="1",BH432,0)</f>
        <v>0</v>
      </c>
      <c r="AC432" s="35">
        <f>IF(AQ432="1",BI432,0)</f>
        <v>0</v>
      </c>
      <c r="AD432" s="35">
        <f>IF(AQ432="7",BH432,0)</f>
        <v>0</v>
      </c>
      <c r="AE432" s="35">
        <f>IF(AQ432="7",BI432,0)</f>
        <v>300</v>
      </c>
      <c r="AF432" s="35">
        <f>IF(AQ432="2",BH432,0)</f>
        <v>0</v>
      </c>
      <c r="AG432" s="35">
        <f>IF(AQ432="2",BI432,0)</f>
        <v>0</v>
      </c>
      <c r="AH432" s="35">
        <f>IF(AQ432="0",BJ432,0)</f>
        <v>0</v>
      </c>
      <c r="AI432" s="77" t="s">
        <v>64</v>
      </c>
      <c r="AJ432" s="64">
        <f>IF(AN432=0,L432,0)</f>
        <v>0</v>
      </c>
      <c r="AK432" s="64">
        <f>IF(AN432=15,L432,0)</f>
        <v>0</v>
      </c>
      <c r="AL432" s="64">
        <f>IF(AN432=21,L432,0)</f>
        <v>300</v>
      </c>
      <c r="AN432" s="35">
        <v>21</v>
      </c>
      <c r="AO432" s="35">
        <f>I432*0</f>
        <v>0</v>
      </c>
      <c r="AP432" s="35">
        <f>I432*(1-0)</f>
        <v>300</v>
      </c>
      <c r="AQ432" s="78" t="s">
        <v>235</v>
      </c>
      <c r="AV432" s="35">
        <f>AW432+AX432</f>
        <v>300</v>
      </c>
      <c r="AW432" s="35">
        <f>H432*AO432</f>
        <v>0</v>
      </c>
      <c r="AX432" s="35">
        <f>H432*AP432</f>
        <v>300</v>
      </c>
      <c r="AY432" s="80" t="s">
        <v>1699</v>
      </c>
      <c r="AZ432" s="80" t="s">
        <v>1746</v>
      </c>
      <c r="BA432" s="77" t="s">
        <v>1777</v>
      </c>
      <c r="BC432" s="35">
        <f>AW432+AX432</f>
        <v>300</v>
      </c>
      <c r="BD432" s="35">
        <f>I432/(100-BE432)*100</f>
        <v>300</v>
      </c>
      <c r="BE432" s="35">
        <v>0</v>
      </c>
      <c r="BF432" s="35">
        <f>432</f>
        <v>432</v>
      </c>
      <c r="BH432" s="64">
        <f>H432*AO432</f>
        <v>0</v>
      </c>
      <c r="BI432" s="64">
        <f>H432*AP432</f>
        <v>300</v>
      </c>
      <c r="BJ432" s="64">
        <f>H432*I432</f>
        <v>300</v>
      </c>
      <c r="BK432" s="64" t="s">
        <v>1790</v>
      </c>
      <c r="BL432" s="35">
        <v>742</v>
      </c>
    </row>
    <row r="433" spans="1:64">
      <c r="A433" s="19"/>
      <c r="C433" s="59" t="s">
        <v>730</v>
      </c>
      <c r="D433" s="167" t="s">
        <v>1416</v>
      </c>
      <c r="E433" s="168"/>
      <c r="F433" s="168"/>
      <c r="G433" s="168"/>
      <c r="H433" s="168"/>
      <c r="I433" s="168"/>
      <c r="J433" s="168"/>
      <c r="K433" s="168"/>
      <c r="L433" s="168"/>
      <c r="M433" s="169"/>
      <c r="N433" s="19"/>
    </row>
    <row r="434" spans="1:64">
      <c r="A434" s="47" t="s">
        <v>463</v>
      </c>
      <c r="B434" s="55" t="s">
        <v>64</v>
      </c>
      <c r="C434" s="55" t="s">
        <v>960</v>
      </c>
      <c r="D434" s="165" t="s">
        <v>1417</v>
      </c>
      <c r="E434" s="166"/>
      <c r="F434" s="166"/>
      <c r="G434" s="55" t="s">
        <v>1644</v>
      </c>
      <c r="H434" s="64">
        <v>7.5</v>
      </c>
      <c r="I434" s="64">
        <v>0.74</v>
      </c>
      <c r="J434" s="64">
        <f>H434*AO434</f>
        <v>0</v>
      </c>
      <c r="K434" s="64">
        <f>H434*AP434</f>
        <v>5.55</v>
      </c>
      <c r="L434" s="64">
        <f>H434*I434</f>
        <v>5.55</v>
      </c>
      <c r="M434" s="73" t="s">
        <v>1660</v>
      </c>
      <c r="N434" s="19"/>
      <c r="Z434" s="35">
        <f>IF(AQ434="5",BJ434,0)</f>
        <v>0</v>
      </c>
      <c r="AB434" s="35">
        <f>IF(AQ434="1",BH434,0)</f>
        <v>0</v>
      </c>
      <c r="AC434" s="35">
        <f>IF(AQ434="1",BI434,0)</f>
        <v>0</v>
      </c>
      <c r="AD434" s="35">
        <f>IF(AQ434="7",BH434,0)</f>
        <v>0</v>
      </c>
      <c r="AE434" s="35">
        <f>IF(AQ434="7",BI434,0)</f>
        <v>5.55</v>
      </c>
      <c r="AF434" s="35">
        <f>IF(AQ434="2",BH434,0)</f>
        <v>0</v>
      </c>
      <c r="AG434" s="35">
        <f>IF(AQ434="2",BI434,0)</f>
        <v>0</v>
      </c>
      <c r="AH434" s="35">
        <f>IF(AQ434="0",BJ434,0)</f>
        <v>0</v>
      </c>
      <c r="AI434" s="77" t="s">
        <v>64</v>
      </c>
      <c r="AJ434" s="64">
        <f>IF(AN434=0,L434,0)</f>
        <v>0</v>
      </c>
      <c r="AK434" s="64">
        <f>IF(AN434=15,L434,0)</f>
        <v>0</v>
      </c>
      <c r="AL434" s="64">
        <f>IF(AN434=21,L434,0)</f>
        <v>5.55</v>
      </c>
      <c r="AN434" s="35">
        <v>21</v>
      </c>
      <c r="AO434" s="35">
        <f>I434*0</f>
        <v>0</v>
      </c>
      <c r="AP434" s="35">
        <f>I434*(1-0)</f>
        <v>0.74</v>
      </c>
      <c r="AQ434" s="78" t="s">
        <v>235</v>
      </c>
      <c r="AV434" s="35">
        <f>AW434+AX434</f>
        <v>5.55</v>
      </c>
      <c r="AW434" s="35">
        <f>H434*AO434</f>
        <v>0</v>
      </c>
      <c r="AX434" s="35">
        <f>H434*AP434</f>
        <v>5.55</v>
      </c>
      <c r="AY434" s="80" t="s">
        <v>1699</v>
      </c>
      <c r="AZ434" s="80" t="s">
        <v>1746</v>
      </c>
      <c r="BA434" s="77" t="s">
        <v>1777</v>
      </c>
      <c r="BC434" s="35">
        <f>AW434+AX434</f>
        <v>5.55</v>
      </c>
      <c r="BD434" s="35">
        <f>I434/(100-BE434)*100</f>
        <v>0.74</v>
      </c>
      <c r="BE434" s="35">
        <v>0</v>
      </c>
      <c r="BF434" s="35">
        <f>434</f>
        <v>434</v>
      </c>
      <c r="BH434" s="64">
        <f>H434*AO434</f>
        <v>0</v>
      </c>
      <c r="BI434" s="64">
        <f>H434*AP434</f>
        <v>5.55</v>
      </c>
      <c r="BJ434" s="64">
        <f>H434*I434</f>
        <v>5.55</v>
      </c>
      <c r="BK434" s="64" t="s">
        <v>1790</v>
      </c>
      <c r="BL434" s="35">
        <v>742</v>
      </c>
    </row>
    <row r="435" spans="1:64">
      <c r="A435" s="19"/>
      <c r="C435" s="59" t="s">
        <v>730</v>
      </c>
      <c r="D435" s="167" t="s">
        <v>1418</v>
      </c>
      <c r="E435" s="168"/>
      <c r="F435" s="168"/>
      <c r="G435" s="168"/>
      <c r="H435" s="168"/>
      <c r="I435" s="168"/>
      <c r="J435" s="168"/>
      <c r="K435" s="168"/>
      <c r="L435" s="168"/>
      <c r="M435" s="169"/>
      <c r="N435" s="19"/>
    </row>
    <row r="436" spans="1:64">
      <c r="A436" s="49"/>
      <c r="B436" s="57" t="s">
        <v>65</v>
      </c>
      <c r="C436" s="57"/>
      <c r="D436" s="172" t="s">
        <v>81</v>
      </c>
      <c r="E436" s="173"/>
      <c r="F436" s="173"/>
      <c r="G436" s="62" t="s">
        <v>57</v>
      </c>
      <c r="H436" s="62" t="s">
        <v>57</v>
      </c>
      <c r="I436" s="62" t="s">
        <v>57</v>
      </c>
      <c r="J436" s="84">
        <f>J437+J458</f>
        <v>65295.4</v>
      </c>
      <c r="K436" s="84">
        <f>K437+K458</f>
        <v>86847</v>
      </c>
      <c r="L436" s="84">
        <f>L437+L458</f>
        <v>152142.39999999999</v>
      </c>
      <c r="M436" s="75"/>
      <c r="N436" s="19"/>
    </row>
    <row r="437" spans="1:64">
      <c r="A437" s="46"/>
      <c r="B437" s="54" t="s">
        <v>65</v>
      </c>
      <c r="C437" s="54" t="s">
        <v>161</v>
      </c>
      <c r="D437" s="163" t="s">
        <v>211</v>
      </c>
      <c r="E437" s="164"/>
      <c r="F437" s="164"/>
      <c r="G437" s="61" t="s">
        <v>57</v>
      </c>
      <c r="H437" s="61" t="s">
        <v>57</v>
      </c>
      <c r="I437" s="61" t="s">
        <v>57</v>
      </c>
      <c r="J437" s="83">
        <f>SUM(J438:J457)</f>
        <v>65295.4</v>
      </c>
      <c r="K437" s="83">
        <f>SUM(K438:K457)</f>
        <v>80306</v>
      </c>
      <c r="L437" s="83">
        <f>SUM(L438:L457)</f>
        <v>145601.4</v>
      </c>
      <c r="M437" s="72"/>
      <c r="N437" s="19"/>
      <c r="AI437" s="77" t="s">
        <v>65</v>
      </c>
      <c r="AS437" s="83">
        <f>SUM(AJ438:AJ457)</f>
        <v>0</v>
      </c>
      <c r="AT437" s="83">
        <f>SUM(AK438:AK457)</f>
        <v>0</v>
      </c>
      <c r="AU437" s="83">
        <f>SUM(AL438:AL457)</f>
        <v>145601.4</v>
      </c>
    </row>
    <row r="438" spans="1:64">
      <c r="A438" s="47" t="s">
        <v>464</v>
      </c>
      <c r="B438" s="55" t="s">
        <v>65</v>
      </c>
      <c r="C438" s="55" t="s">
        <v>961</v>
      </c>
      <c r="D438" s="165" t="s">
        <v>1419</v>
      </c>
      <c r="E438" s="166"/>
      <c r="F438" s="166"/>
      <c r="G438" s="55" t="s">
        <v>1631</v>
      </c>
      <c r="H438" s="64">
        <v>226</v>
      </c>
      <c r="I438" s="64">
        <v>26</v>
      </c>
      <c r="J438" s="64">
        <f t="shared" ref="J438:J457" si="254">H438*AO438</f>
        <v>0</v>
      </c>
      <c r="K438" s="64">
        <f t="shared" ref="K438:K457" si="255">H438*AP438</f>
        <v>5876</v>
      </c>
      <c r="L438" s="64">
        <f t="shared" ref="L438:L457" si="256">H438*I438</f>
        <v>5876</v>
      </c>
      <c r="M438" s="73"/>
      <c r="N438" s="19"/>
      <c r="Z438" s="35">
        <f t="shared" ref="Z438:Z457" si="257">IF(AQ438="5",BJ438,0)</f>
        <v>0</v>
      </c>
      <c r="AB438" s="35">
        <f t="shared" ref="AB438:AB457" si="258">IF(AQ438="1",BH438,0)</f>
        <v>0</v>
      </c>
      <c r="AC438" s="35">
        <f t="shared" ref="AC438:AC457" si="259">IF(AQ438="1",BI438,0)</f>
        <v>0</v>
      </c>
      <c r="AD438" s="35">
        <f t="shared" ref="AD438:AD457" si="260">IF(AQ438="7",BH438,0)</f>
        <v>0</v>
      </c>
      <c r="AE438" s="35">
        <f t="shared" ref="AE438:AE457" si="261">IF(AQ438="7",BI438,0)</f>
        <v>0</v>
      </c>
      <c r="AF438" s="35">
        <f t="shared" ref="AF438:AF457" si="262">IF(AQ438="2",BH438,0)</f>
        <v>0</v>
      </c>
      <c r="AG438" s="35">
        <f t="shared" ref="AG438:AG457" si="263">IF(AQ438="2",BI438,0)</f>
        <v>5876</v>
      </c>
      <c r="AH438" s="35">
        <f t="shared" ref="AH438:AH457" si="264">IF(AQ438="0",BJ438,0)</f>
        <v>0</v>
      </c>
      <c r="AI438" s="77" t="s">
        <v>65</v>
      </c>
      <c r="AJ438" s="64">
        <f t="shared" ref="AJ438:AJ457" si="265">IF(AN438=0,L438,0)</f>
        <v>0</v>
      </c>
      <c r="AK438" s="64">
        <f t="shared" ref="AK438:AK457" si="266">IF(AN438=15,L438,0)</f>
        <v>0</v>
      </c>
      <c r="AL438" s="64">
        <f t="shared" ref="AL438:AL457" si="267">IF(AN438=21,L438,0)</f>
        <v>5876</v>
      </c>
      <c r="AN438" s="35">
        <v>21</v>
      </c>
      <c r="AO438" s="35">
        <f t="shared" ref="AO438:AO448" si="268">I438*0</f>
        <v>0</v>
      </c>
      <c r="AP438" s="35">
        <f t="shared" ref="AP438:AP448" si="269">I438*(1-0)</f>
        <v>26</v>
      </c>
      <c r="AQ438" s="78" t="s">
        <v>110</v>
      </c>
      <c r="AV438" s="35">
        <f t="shared" ref="AV438:AV457" si="270">AW438+AX438</f>
        <v>5876</v>
      </c>
      <c r="AW438" s="35">
        <f t="shared" ref="AW438:AW457" si="271">H438*AO438</f>
        <v>0</v>
      </c>
      <c r="AX438" s="35">
        <f t="shared" ref="AX438:AX457" si="272">H438*AP438</f>
        <v>5876</v>
      </c>
      <c r="AY438" s="80" t="s">
        <v>1700</v>
      </c>
      <c r="AZ438" s="80" t="s">
        <v>1747</v>
      </c>
      <c r="BA438" s="77" t="s">
        <v>1778</v>
      </c>
      <c r="BC438" s="35">
        <f t="shared" ref="BC438:BC457" si="273">AW438+AX438</f>
        <v>5876</v>
      </c>
      <c r="BD438" s="35">
        <f t="shared" ref="BD438:BD457" si="274">I438/(100-BE438)*100</f>
        <v>26</v>
      </c>
      <c r="BE438" s="35">
        <v>0</v>
      </c>
      <c r="BF438" s="35">
        <f>438</f>
        <v>438</v>
      </c>
      <c r="BH438" s="64">
        <f t="shared" ref="BH438:BH457" si="275">H438*AO438</f>
        <v>0</v>
      </c>
      <c r="BI438" s="64">
        <f t="shared" ref="BI438:BI457" si="276">H438*AP438</f>
        <v>5876</v>
      </c>
      <c r="BJ438" s="64">
        <f t="shared" ref="BJ438:BJ457" si="277">H438*I438</f>
        <v>5876</v>
      </c>
      <c r="BK438" s="64" t="s">
        <v>1790</v>
      </c>
      <c r="BL438" s="35" t="s">
        <v>161</v>
      </c>
    </row>
    <row r="439" spans="1:64">
      <c r="A439" s="47" t="s">
        <v>465</v>
      </c>
      <c r="B439" s="55" t="s">
        <v>65</v>
      </c>
      <c r="C439" s="55" t="s">
        <v>962</v>
      </c>
      <c r="D439" s="165" t="s">
        <v>1420</v>
      </c>
      <c r="E439" s="166"/>
      <c r="F439" s="166"/>
      <c r="G439" s="55" t="s">
        <v>1633</v>
      </c>
      <c r="H439" s="64">
        <v>450</v>
      </c>
      <c r="I439" s="64">
        <v>35</v>
      </c>
      <c r="J439" s="64">
        <f t="shared" si="254"/>
        <v>0</v>
      </c>
      <c r="K439" s="64">
        <f t="shared" si="255"/>
        <v>15750</v>
      </c>
      <c r="L439" s="64">
        <f t="shared" si="256"/>
        <v>15750</v>
      </c>
      <c r="M439" s="73"/>
      <c r="N439" s="19"/>
      <c r="Z439" s="35">
        <f t="shared" si="257"/>
        <v>0</v>
      </c>
      <c r="AB439" s="35">
        <f t="shared" si="258"/>
        <v>0</v>
      </c>
      <c r="AC439" s="35">
        <f t="shared" si="259"/>
        <v>0</v>
      </c>
      <c r="AD439" s="35">
        <f t="shared" si="260"/>
        <v>0</v>
      </c>
      <c r="AE439" s="35">
        <f t="shared" si="261"/>
        <v>0</v>
      </c>
      <c r="AF439" s="35">
        <f t="shared" si="262"/>
        <v>0</v>
      </c>
      <c r="AG439" s="35">
        <f t="shared" si="263"/>
        <v>15750</v>
      </c>
      <c r="AH439" s="35">
        <f t="shared" si="264"/>
        <v>0</v>
      </c>
      <c r="AI439" s="77" t="s">
        <v>65</v>
      </c>
      <c r="AJ439" s="64">
        <f t="shared" si="265"/>
        <v>0</v>
      </c>
      <c r="AK439" s="64">
        <f t="shared" si="266"/>
        <v>0</v>
      </c>
      <c r="AL439" s="64">
        <f t="shared" si="267"/>
        <v>15750</v>
      </c>
      <c r="AN439" s="35">
        <v>21</v>
      </c>
      <c r="AO439" s="35">
        <f t="shared" si="268"/>
        <v>0</v>
      </c>
      <c r="AP439" s="35">
        <f t="shared" si="269"/>
        <v>35</v>
      </c>
      <c r="AQ439" s="78" t="s">
        <v>110</v>
      </c>
      <c r="AV439" s="35">
        <f t="shared" si="270"/>
        <v>15750</v>
      </c>
      <c r="AW439" s="35">
        <f t="shared" si="271"/>
        <v>0</v>
      </c>
      <c r="AX439" s="35">
        <f t="shared" si="272"/>
        <v>15750</v>
      </c>
      <c r="AY439" s="80" t="s">
        <v>1700</v>
      </c>
      <c r="AZ439" s="80" t="s">
        <v>1747</v>
      </c>
      <c r="BA439" s="77" t="s">
        <v>1778</v>
      </c>
      <c r="BC439" s="35">
        <f t="shared" si="273"/>
        <v>15750</v>
      </c>
      <c r="BD439" s="35">
        <f t="shared" si="274"/>
        <v>35</v>
      </c>
      <c r="BE439" s="35">
        <v>0</v>
      </c>
      <c r="BF439" s="35">
        <f>439</f>
        <v>439</v>
      </c>
      <c r="BH439" s="64">
        <f t="shared" si="275"/>
        <v>0</v>
      </c>
      <c r="BI439" s="64">
        <f t="shared" si="276"/>
        <v>15750</v>
      </c>
      <c r="BJ439" s="64">
        <f t="shared" si="277"/>
        <v>15750</v>
      </c>
      <c r="BK439" s="64" t="s">
        <v>1790</v>
      </c>
      <c r="BL439" s="35" t="s">
        <v>161</v>
      </c>
    </row>
    <row r="440" spans="1:64">
      <c r="A440" s="47" t="s">
        <v>466</v>
      </c>
      <c r="B440" s="55" t="s">
        <v>65</v>
      </c>
      <c r="C440" s="55" t="s">
        <v>963</v>
      </c>
      <c r="D440" s="165" t="s">
        <v>1421</v>
      </c>
      <c r="E440" s="166"/>
      <c r="F440" s="166"/>
      <c r="G440" s="55" t="s">
        <v>1631</v>
      </c>
      <c r="H440" s="64">
        <v>8</v>
      </c>
      <c r="I440" s="64">
        <v>350</v>
      </c>
      <c r="J440" s="64">
        <f t="shared" si="254"/>
        <v>0</v>
      </c>
      <c r="K440" s="64">
        <f t="shared" si="255"/>
        <v>2800</v>
      </c>
      <c r="L440" s="64">
        <f t="shared" si="256"/>
        <v>2800</v>
      </c>
      <c r="M440" s="73"/>
      <c r="N440" s="19"/>
      <c r="Z440" s="35">
        <f t="shared" si="257"/>
        <v>0</v>
      </c>
      <c r="AB440" s="35">
        <f t="shared" si="258"/>
        <v>0</v>
      </c>
      <c r="AC440" s="35">
        <f t="shared" si="259"/>
        <v>2800</v>
      </c>
      <c r="AD440" s="35">
        <f t="shared" si="260"/>
        <v>0</v>
      </c>
      <c r="AE440" s="35">
        <f t="shared" si="261"/>
        <v>0</v>
      </c>
      <c r="AF440" s="35">
        <f t="shared" si="262"/>
        <v>0</v>
      </c>
      <c r="AG440" s="35">
        <f t="shared" si="263"/>
        <v>0</v>
      </c>
      <c r="AH440" s="35">
        <f t="shared" si="264"/>
        <v>0</v>
      </c>
      <c r="AI440" s="77" t="s">
        <v>65</v>
      </c>
      <c r="AJ440" s="64">
        <f t="shared" si="265"/>
        <v>0</v>
      </c>
      <c r="AK440" s="64">
        <f t="shared" si="266"/>
        <v>0</v>
      </c>
      <c r="AL440" s="64">
        <f t="shared" si="267"/>
        <v>2800</v>
      </c>
      <c r="AN440" s="35">
        <v>21</v>
      </c>
      <c r="AO440" s="35">
        <f t="shared" si="268"/>
        <v>0</v>
      </c>
      <c r="AP440" s="35">
        <f t="shared" si="269"/>
        <v>350</v>
      </c>
      <c r="AQ440" s="78" t="s">
        <v>109</v>
      </c>
      <c r="AV440" s="35">
        <f t="shared" si="270"/>
        <v>2800</v>
      </c>
      <c r="AW440" s="35">
        <f t="shared" si="271"/>
        <v>0</v>
      </c>
      <c r="AX440" s="35">
        <f t="shared" si="272"/>
        <v>2800</v>
      </c>
      <c r="AY440" s="80" t="s">
        <v>1700</v>
      </c>
      <c r="AZ440" s="80" t="s">
        <v>1747</v>
      </c>
      <c r="BA440" s="77" t="s">
        <v>1778</v>
      </c>
      <c r="BC440" s="35">
        <f t="shared" si="273"/>
        <v>2800</v>
      </c>
      <c r="BD440" s="35">
        <f t="shared" si="274"/>
        <v>350</v>
      </c>
      <c r="BE440" s="35">
        <v>0</v>
      </c>
      <c r="BF440" s="35">
        <f>440</f>
        <v>440</v>
      </c>
      <c r="BH440" s="64">
        <f t="shared" si="275"/>
        <v>0</v>
      </c>
      <c r="BI440" s="64">
        <f t="shared" si="276"/>
        <v>2800</v>
      </c>
      <c r="BJ440" s="64">
        <f t="shared" si="277"/>
        <v>2800</v>
      </c>
      <c r="BK440" s="64" t="s">
        <v>1790</v>
      </c>
      <c r="BL440" s="35" t="s">
        <v>161</v>
      </c>
    </row>
    <row r="441" spans="1:64">
      <c r="A441" s="47" t="s">
        <v>467</v>
      </c>
      <c r="B441" s="55" t="s">
        <v>65</v>
      </c>
      <c r="C441" s="55" t="s">
        <v>963</v>
      </c>
      <c r="D441" s="165" t="s">
        <v>1422</v>
      </c>
      <c r="E441" s="166"/>
      <c r="F441" s="166"/>
      <c r="G441" s="55" t="s">
        <v>1631</v>
      </c>
      <c r="H441" s="64">
        <v>26</v>
      </c>
      <c r="I441" s="64">
        <v>250</v>
      </c>
      <c r="J441" s="64">
        <f t="shared" si="254"/>
        <v>0</v>
      </c>
      <c r="K441" s="64">
        <f t="shared" si="255"/>
        <v>6500</v>
      </c>
      <c r="L441" s="64">
        <f t="shared" si="256"/>
        <v>6500</v>
      </c>
      <c r="M441" s="73"/>
      <c r="N441" s="19"/>
      <c r="Z441" s="35">
        <f t="shared" si="257"/>
        <v>0</v>
      </c>
      <c r="AB441" s="35">
        <f t="shared" si="258"/>
        <v>0</v>
      </c>
      <c r="AC441" s="35">
        <f t="shared" si="259"/>
        <v>6500</v>
      </c>
      <c r="AD441" s="35">
        <f t="shared" si="260"/>
        <v>0</v>
      </c>
      <c r="AE441" s="35">
        <f t="shared" si="261"/>
        <v>0</v>
      </c>
      <c r="AF441" s="35">
        <f t="shared" si="262"/>
        <v>0</v>
      </c>
      <c r="AG441" s="35">
        <f t="shared" si="263"/>
        <v>0</v>
      </c>
      <c r="AH441" s="35">
        <f t="shared" si="264"/>
        <v>0</v>
      </c>
      <c r="AI441" s="77" t="s">
        <v>65</v>
      </c>
      <c r="AJ441" s="64">
        <f t="shared" si="265"/>
        <v>0</v>
      </c>
      <c r="AK441" s="64">
        <f t="shared" si="266"/>
        <v>0</v>
      </c>
      <c r="AL441" s="64">
        <f t="shared" si="267"/>
        <v>6500</v>
      </c>
      <c r="AN441" s="35">
        <v>21</v>
      </c>
      <c r="AO441" s="35">
        <f t="shared" si="268"/>
        <v>0</v>
      </c>
      <c r="AP441" s="35">
        <f t="shared" si="269"/>
        <v>250</v>
      </c>
      <c r="AQ441" s="78" t="s">
        <v>109</v>
      </c>
      <c r="AV441" s="35">
        <f t="shared" si="270"/>
        <v>6500</v>
      </c>
      <c r="AW441" s="35">
        <f t="shared" si="271"/>
        <v>0</v>
      </c>
      <c r="AX441" s="35">
        <f t="shared" si="272"/>
        <v>6500</v>
      </c>
      <c r="AY441" s="80" t="s">
        <v>1700</v>
      </c>
      <c r="AZ441" s="80" t="s">
        <v>1747</v>
      </c>
      <c r="BA441" s="77" t="s">
        <v>1778</v>
      </c>
      <c r="BC441" s="35">
        <f t="shared" si="273"/>
        <v>6500</v>
      </c>
      <c r="BD441" s="35">
        <f t="shared" si="274"/>
        <v>250</v>
      </c>
      <c r="BE441" s="35">
        <v>0</v>
      </c>
      <c r="BF441" s="35">
        <f>441</f>
        <v>441</v>
      </c>
      <c r="BH441" s="64">
        <f t="shared" si="275"/>
        <v>0</v>
      </c>
      <c r="BI441" s="64">
        <f t="shared" si="276"/>
        <v>6500</v>
      </c>
      <c r="BJ441" s="64">
        <f t="shared" si="277"/>
        <v>6500</v>
      </c>
      <c r="BK441" s="64" t="s">
        <v>1790</v>
      </c>
      <c r="BL441" s="35" t="s">
        <v>161</v>
      </c>
    </row>
    <row r="442" spans="1:64">
      <c r="A442" s="47" t="s">
        <v>468</v>
      </c>
      <c r="B442" s="55" t="s">
        <v>65</v>
      </c>
      <c r="C442" s="55" t="s">
        <v>963</v>
      </c>
      <c r="D442" s="165" t="s">
        <v>1423</v>
      </c>
      <c r="E442" s="166"/>
      <c r="F442" s="166"/>
      <c r="G442" s="55" t="s">
        <v>1631</v>
      </c>
      <c r="H442" s="64">
        <v>32</v>
      </c>
      <c r="I442" s="64">
        <v>250</v>
      </c>
      <c r="J442" s="64">
        <f t="shared" si="254"/>
        <v>0</v>
      </c>
      <c r="K442" s="64">
        <f t="shared" si="255"/>
        <v>8000</v>
      </c>
      <c r="L442" s="64">
        <f t="shared" si="256"/>
        <v>8000</v>
      </c>
      <c r="M442" s="73"/>
      <c r="N442" s="19"/>
      <c r="Z442" s="35">
        <f t="shared" si="257"/>
        <v>0</v>
      </c>
      <c r="AB442" s="35">
        <f t="shared" si="258"/>
        <v>0</v>
      </c>
      <c r="AC442" s="35">
        <f t="shared" si="259"/>
        <v>8000</v>
      </c>
      <c r="AD442" s="35">
        <f t="shared" si="260"/>
        <v>0</v>
      </c>
      <c r="AE442" s="35">
        <f t="shared" si="261"/>
        <v>0</v>
      </c>
      <c r="AF442" s="35">
        <f t="shared" si="262"/>
        <v>0</v>
      </c>
      <c r="AG442" s="35">
        <f t="shared" si="263"/>
        <v>0</v>
      </c>
      <c r="AH442" s="35">
        <f t="shared" si="264"/>
        <v>0</v>
      </c>
      <c r="AI442" s="77" t="s">
        <v>65</v>
      </c>
      <c r="AJ442" s="64">
        <f t="shared" si="265"/>
        <v>0</v>
      </c>
      <c r="AK442" s="64">
        <f t="shared" si="266"/>
        <v>0</v>
      </c>
      <c r="AL442" s="64">
        <f t="shared" si="267"/>
        <v>8000</v>
      </c>
      <c r="AN442" s="35">
        <v>21</v>
      </c>
      <c r="AO442" s="35">
        <f t="shared" si="268"/>
        <v>0</v>
      </c>
      <c r="AP442" s="35">
        <f t="shared" si="269"/>
        <v>250</v>
      </c>
      <c r="AQ442" s="78" t="s">
        <v>109</v>
      </c>
      <c r="AV442" s="35">
        <f t="shared" si="270"/>
        <v>8000</v>
      </c>
      <c r="AW442" s="35">
        <f t="shared" si="271"/>
        <v>0</v>
      </c>
      <c r="AX442" s="35">
        <f t="shared" si="272"/>
        <v>8000</v>
      </c>
      <c r="AY442" s="80" t="s">
        <v>1700</v>
      </c>
      <c r="AZ442" s="80" t="s">
        <v>1747</v>
      </c>
      <c r="BA442" s="77" t="s">
        <v>1778</v>
      </c>
      <c r="BC442" s="35">
        <f t="shared" si="273"/>
        <v>8000</v>
      </c>
      <c r="BD442" s="35">
        <f t="shared" si="274"/>
        <v>250</v>
      </c>
      <c r="BE442" s="35">
        <v>0</v>
      </c>
      <c r="BF442" s="35">
        <f>442</f>
        <v>442</v>
      </c>
      <c r="BH442" s="64">
        <f t="shared" si="275"/>
        <v>0</v>
      </c>
      <c r="BI442" s="64">
        <f t="shared" si="276"/>
        <v>8000</v>
      </c>
      <c r="BJ442" s="64">
        <f t="shared" si="277"/>
        <v>8000</v>
      </c>
      <c r="BK442" s="64" t="s">
        <v>1790</v>
      </c>
      <c r="BL442" s="35" t="s">
        <v>161</v>
      </c>
    </row>
    <row r="443" spans="1:64">
      <c r="A443" s="47" t="s">
        <v>469</v>
      </c>
      <c r="B443" s="55" t="s">
        <v>65</v>
      </c>
      <c r="C443" s="55" t="s">
        <v>963</v>
      </c>
      <c r="D443" s="165" t="s">
        <v>1424</v>
      </c>
      <c r="E443" s="166"/>
      <c r="F443" s="166"/>
      <c r="G443" s="55" t="s">
        <v>1631</v>
      </c>
      <c r="H443" s="64">
        <v>26</v>
      </c>
      <c r="I443" s="64">
        <v>150</v>
      </c>
      <c r="J443" s="64">
        <f t="shared" si="254"/>
        <v>0</v>
      </c>
      <c r="K443" s="64">
        <f t="shared" si="255"/>
        <v>3900</v>
      </c>
      <c r="L443" s="64">
        <f t="shared" si="256"/>
        <v>3900</v>
      </c>
      <c r="M443" s="73"/>
      <c r="N443" s="19"/>
      <c r="Z443" s="35">
        <f t="shared" si="257"/>
        <v>0</v>
      </c>
      <c r="AB443" s="35">
        <f t="shared" si="258"/>
        <v>0</v>
      </c>
      <c r="AC443" s="35">
        <f t="shared" si="259"/>
        <v>3900</v>
      </c>
      <c r="AD443" s="35">
        <f t="shared" si="260"/>
        <v>0</v>
      </c>
      <c r="AE443" s="35">
        <f t="shared" si="261"/>
        <v>0</v>
      </c>
      <c r="AF443" s="35">
        <f t="shared" si="262"/>
        <v>0</v>
      </c>
      <c r="AG443" s="35">
        <f t="shared" si="263"/>
        <v>0</v>
      </c>
      <c r="AH443" s="35">
        <f t="shared" si="264"/>
        <v>0</v>
      </c>
      <c r="AI443" s="77" t="s">
        <v>65</v>
      </c>
      <c r="AJ443" s="64">
        <f t="shared" si="265"/>
        <v>0</v>
      </c>
      <c r="AK443" s="64">
        <f t="shared" si="266"/>
        <v>0</v>
      </c>
      <c r="AL443" s="64">
        <f t="shared" si="267"/>
        <v>3900</v>
      </c>
      <c r="AN443" s="35">
        <v>21</v>
      </c>
      <c r="AO443" s="35">
        <f t="shared" si="268"/>
        <v>0</v>
      </c>
      <c r="AP443" s="35">
        <f t="shared" si="269"/>
        <v>150</v>
      </c>
      <c r="AQ443" s="78" t="s">
        <v>109</v>
      </c>
      <c r="AV443" s="35">
        <f t="shared" si="270"/>
        <v>3900</v>
      </c>
      <c r="AW443" s="35">
        <f t="shared" si="271"/>
        <v>0</v>
      </c>
      <c r="AX443" s="35">
        <f t="shared" si="272"/>
        <v>3900</v>
      </c>
      <c r="AY443" s="80" t="s">
        <v>1700</v>
      </c>
      <c r="AZ443" s="80" t="s">
        <v>1747</v>
      </c>
      <c r="BA443" s="77" t="s">
        <v>1778</v>
      </c>
      <c r="BC443" s="35">
        <f t="shared" si="273"/>
        <v>3900</v>
      </c>
      <c r="BD443" s="35">
        <f t="shared" si="274"/>
        <v>150</v>
      </c>
      <c r="BE443" s="35">
        <v>0</v>
      </c>
      <c r="BF443" s="35">
        <f>443</f>
        <v>443</v>
      </c>
      <c r="BH443" s="64">
        <f t="shared" si="275"/>
        <v>0</v>
      </c>
      <c r="BI443" s="64">
        <f t="shared" si="276"/>
        <v>3900</v>
      </c>
      <c r="BJ443" s="64">
        <f t="shared" si="277"/>
        <v>3900</v>
      </c>
      <c r="BK443" s="64" t="s">
        <v>1790</v>
      </c>
      <c r="BL443" s="35" t="s">
        <v>161</v>
      </c>
    </row>
    <row r="444" spans="1:64">
      <c r="A444" s="47" t="s">
        <v>470</v>
      </c>
      <c r="B444" s="55" t="s">
        <v>65</v>
      </c>
      <c r="C444" s="55" t="s">
        <v>963</v>
      </c>
      <c r="D444" s="165" t="s">
        <v>1425</v>
      </c>
      <c r="E444" s="166"/>
      <c r="F444" s="166"/>
      <c r="G444" s="55" t="s">
        <v>1647</v>
      </c>
      <c r="H444" s="64">
        <v>80</v>
      </c>
      <c r="I444" s="64">
        <v>300</v>
      </c>
      <c r="J444" s="64">
        <f t="shared" si="254"/>
        <v>0</v>
      </c>
      <c r="K444" s="64">
        <f t="shared" si="255"/>
        <v>24000</v>
      </c>
      <c r="L444" s="64">
        <f t="shared" si="256"/>
        <v>24000</v>
      </c>
      <c r="M444" s="73"/>
      <c r="N444" s="19"/>
      <c r="Z444" s="35">
        <f t="shared" si="257"/>
        <v>0</v>
      </c>
      <c r="AB444" s="35">
        <f t="shared" si="258"/>
        <v>0</v>
      </c>
      <c r="AC444" s="35">
        <f t="shared" si="259"/>
        <v>24000</v>
      </c>
      <c r="AD444" s="35">
        <f t="shared" si="260"/>
        <v>0</v>
      </c>
      <c r="AE444" s="35">
        <f t="shared" si="261"/>
        <v>0</v>
      </c>
      <c r="AF444" s="35">
        <f t="shared" si="262"/>
        <v>0</v>
      </c>
      <c r="AG444" s="35">
        <f t="shared" si="263"/>
        <v>0</v>
      </c>
      <c r="AH444" s="35">
        <f t="shared" si="264"/>
        <v>0</v>
      </c>
      <c r="AI444" s="77" t="s">
        <v>65</v>
      </c>
      <c r="AJ444" s="64">
        <f t="shared" si="265"/>
        <v>0</v>
      </c>
      <c r="AK444" s="64">
        <f t="shared" si="266"/>
        <v>0</v>
      </c>
      <c r="AL444" s="64">
        <f t="shared" si="267"/>
        <v>24000</v>
      </c>
      <c r="AN444" s="35">
        <v>21</v>
      </c>
      <c r="AO444" s="35">
        <f t="shared" si="268"/>
        <v>0</v>
      </c>
      <c r="AP444" s="35">
        <f t="shared" si="269"/>
        <v>300</v>
      </c>
      <c r="AQ444" s="78" t="s">
        <v>109</v>
      </c>
      <c r="AV444" s="35">
        <f t="shared" si="270"/>
        <v>24000</v>
      </c>
      <c r="AW444" s="35">
        <f t="shared" si="271"/>
        <v>0</v>
      </c>
      <c r="AX444" s="35">
        <f t="shared" si="272"/>
        <v>24000</v>
      </c>
      <c r="AY444" s="80" t="s">
        <v>1700</v>
      </c>
      <c r="AZ444" s="80" t="s">
        <v>1747</v>
      </c>
      <c r="BA444" s="77" t="s">
        <v>1778</v>
      </c>
      <c r="BC444" s="35">
        <f t="shared" si="273"/>
        <v>24000</v>
      </c>
      <c r="BD444" s="35">
        <f t="shared" si="274"/>
        <v>300</v>
      </c>
      <c r="BE444" s="35">
        <v>0</v>
      </c>
      <c r="BF444" s="35">
        <f>444</f>
        <v>444</v>
      </c>
      <c r="BH444" s="64">
        <f t="shared" si="275"/>
        <v>0</v>
      </c>
      <c r="BI444" s="64">
        <f t="shared" si="276"/>
        <v>24000</v>
      </c>
      <c r="BJ444" s="64">
        <f t="shared" si="277"/>
        <v>24000</v>
      </c>
      <c r="BK444" s="64" t="s">
        <v>1790</v>
      </c>
      <c r="BL444" s="35" t="s">
        <v>161</v>
      </c>
    </row>
    <row r="445" spans="1:64">
      <c r="A445" s="47" t="s">
        <v>471</v>
      </c>
      <c r="B445" s="55" t="s">
        <v>65</v>
      </c>
      <c r="C445" s="55" t="s">
        <v>963</v>
      </c>
      <c r="D445" s="165" t="s">
        <v>1426</v>
      </c>
      <c r="E445" s="166"/>
      <c r="F445" s="166"/>
      <c r="G445" s="55" t="s">
        <v>1647</v>
      </c>
      <c r="H445" s="64">
        <v>16</v>
      </c>
      <c r="I445" s="64">
        <v>300</v>
      </c>
      <c r="J445" s="64">
        <f t="shared" si="254"/>
        <v>0</v>
      </c>
      <c r="K445" s="64">
        <f t="shared" si="255"/>
        <v>4800</v>
      </c>
      <c r="L445" s="64">
        <f t="shared" si="256"/>
        <v>4800</v>
      </c>
      <c r="M445" s="73"/>
      <c r="N445" s="19"/>
      <c r="Z445" s="35">
        <f t="shared" si="257"/>
        <v>0</v>
      </c>
      <c r="AB445" s="35">
        <f t="shared" si="258"/>
        <v>0</v>
      </c>
      <c r="AC445" s="35">
        <f t="shared" si="259"/>
        <v>4800</v>
      </c>
      <c r="AD445" s="35">
        <f t="shared" si="260"/>
        <v>0</v>
      </c>
      <c r="AE445" s="35">
        <f t="shared" si="261"/>
        <v>0</v>
      </c>
      <c r="AF445" s="35">
        <f t="shared" si="262"/>
        <v>0</v>
      </c>
      <c r="AG445" s="35">
        <f t="shared" si="263"/>
        <v>0</v>
      </c>
      <c r="AH445" s="35">
        <f t="shared" si="264"/>
        <v>0</v>
      </c>
      <c r="AI445" s="77" t="s">
        <v>65</v>
      </c>
      <c r="AJ445" s="64">
        <f t="shared" si="265"/>
        <v>0</v>
      </c>
      <c r="AK445" s="64">
        <f t="shared" si="266"/>
        <v>0</v>
      </c>
      <c r="AL445" s="64">
        <f t="shared" si="267"/>
        <v>4800</v>
      </c>
      <c r="AN445" s="35">
        <v>21</v>
      </c>
      <c r="AO445" s="35">
        <f t="shared" si="268"/>
        <v>0</v>
      </c>
      <c r="AP445" s="35">
        <f t="shared" si="269"/>
        <v>300</v>
      </c>
      <c r="AQ445" s="78" t="s">
        <v>109</v>
      </c>
      <c r="AV445" s="35">
        <f t="shared" si="270"/>
        <v>4800</v>
      </c>
      <c r="AW445" s="35">
        <f t="shared" si="271"/>
        <v>0</v>
      </c>
      <c r="AX445" s="35">
        <f t="shared" si="272"/>
        <v>4800</v>
      </c>
      <c r="AY445" s="80" t="s">
        <v>1700</v>
      </c>
      <c r="AZ445" s="80" t="s">
        <v>1747</v>
      </c>
      <c r="BA445" s="77" t="s">
        <v>1778</v>
      </c>
      <c r="BC445" s="35">
        <f t="shared" si="273"/>
        <v>4800</v>
      </c>
      <c r="BD445" s="35">
        <f t="shared" si="274"/>
        <v>300</v>
      </c>
      <c r="BE445" s="35">
        <v>0</v>
      </c>
      <c r="BF445" s="35">
        <f>445</f>
        <v>445</v>
      </c>
      <c r="BH445" s="64">
        <f t="shared" si="275"/>
        <v>0</v>
      </c>
      <c r="BI445" s="64">
        <f t="shared" si="276"/>
        <v>4800</v>
      </c>
      <c r="BJ445" s="64">
        <f t="shared" si="277"/>
        <v>4800</v>
      </c>
      <c r="BK445" s="64" t="s">
        <v>1790</v>
      </c>
      <c r="BL445" s="35" t="s">
        <v>161</v>
      </c>
    </row>
    <row r="446" spans="1:64">
      <c r="A446" s="47" t="s">
        <v>472</v>
      </c>
      <c r="B446" s="55" t="s">
        <v>65</v>
      </c>
      <c r="C446" s="55" t="s">
        <v>963</v>
      </c>
      <c r="D446" s="165" t="s">
        <v>1427</v>
      </c>
      <c r="E446" s="166"/>
      <c r="F446" s="166"/>
      <c r="G446" s="55" t="s">
        <v>1647</v>
      </c>
      <c r="H446" s="64">
        <v>8</v>
      </c>
      <c r="I446" s="64">
        <v>350</v>
      </c>
      <c r="J446" s="64">
        <f t="shared" si="254"/>
        <v>0</v>
      </c>
      <c r="K446" s="64">
        <f t="shared" si="255"/>
        <v>2800</v>
      </c>
      <c r="L446" s="64">
        <f t="shared" si="256"/>
        <v>2800</v>
      </c>
      <c r="M446" s="73"/>
      <c r="N446" s="19"/>
      <c r="Z446" s="35">
        <f t="shared" si="257"/>
        <v>0</v>
      </c>
      <c r="AB446" s="35">
        <f t="shared" si="258"/>
        <v>0</v>
      </c>
      <c r="AC446" s="35">
        <f t="shared" si="259"/>
        <v>2800</v>
      </c>
      <c r="AD446" s="35">
        <f t="shared" si="260"/>
        <v>0</v>
      </c>
      <c r="AE446" s="35">
        <f t="shared" si="261"/>
        <v>0</v>
      </c>
      <c r="AF446" s="35">
        <f t="shared" si="262"/>
        <v>0</v>
      </c>
      <c r="AG446" s="35">
        <f t="shared" si="263"/>
        <v>0</v>
      </c>
      <c r="AH446" s="35">
        <f t="shared" si="264"/>
        <v>0</v>
      </c>
      <c r="AI446" s="77" t="s">
        <v>65</v>
      </c>
      <c r="AJ446" s="64">
        <f t="shared" si="265"/>
        <v>0</v>
      </c>
      <c r="AK446" s="64">
        <f t="shared" si="266"/>
        <v>0</v>
      </c>
      <c r="AL446" s="64">
        <f t="shared" si="267"/>
        <v>2800</v>
      </c>
      <c r="AN446" s="35">
        <v>21</v>
      </c>
      <c r="AO446" s="35">
        <f t="shared" si="268"/>
        <v>0</v>
      </c>
      <c r="AP446" s="35">
        <f t="shared" si="269"/>
        <v>350</v>
      </c>
      <c r="AQ446" s="78" t="s">
        <v>109</v>
      </c>
      <c r="AV446" s="35">
        <f t="shared" si="270"/>
        <v>2800</v>
      </c>
      <c r="AW446" s="35">
        <f t="shared" si="271"/>
        <v>0</v>
      </c>
      <c r="AX446" s="35">
        <f t="shared" si="272"/>
        <v>2800</v>
      </c>
      <c r="AY446" s="80" t="s">
        <v>1700</v>
      </c>
      <c r="AZ446" s="80" t="s">
        <v>1747</v>
      </c>
      <c r="BA446" s="77" t="s">
        <v>1778</v>
      </c>
      <c r="BC446" s="35">
        <f t="shared" si="273"/>
        <v>2800</v>
      </c>
      <c r="BD446" s="35">
        <f t="shared" si="274"/>
        <v>350</v>
      </c>
      <c r="BE446" s="35">
        <v>0</v>
      </c>
      <c r="BF446" s="35">
        <f>446</f>
        <v>446</v>
      </c>
      <c r="BH446" s="64">
        <f t="shared" si="275"/>
        <v>0</v>
      </c>
      <c r="BI446" s="64">
        <f t="shared" si="276"/>
        <v>2800</v>
      </c>
      <c r="BJ446" s="64">
        <f t="shared" si="277"/>
        <v>2800</v>
      </c>
      <c r="BK446" s="64" t="s">
        <v>1790</v>
      </c>
      <c r="BL446" s="35" t="s">
        <v>161</v>
      </c>
    </row>
    <row r="447" spans="1:64">
      <c r="A447" s="47" t="s">
        <v>473</v>
      </c>
      <c r="B447" s="55" t="s">
        <v>65</v>
      </c>
      <c r="C447" s="55" t="s">
        <v>964</v>
      </c>
      <c r="D447" s="165" t="s">
        <v>1428</v>
      </c>
      <c r="E447" s="166"/>
      <c r="F447" s="166"/>
      <c r="G447" s="55" t="s">
        <v>1647</v>
      </c>
      <c r="H447" s="64">
        <v>8</v>
      </c>
      <c r="I447" s="64">
        <v>450</v>
      </c>
      <c r="J447" s="64">
        <f t="shared" si="254"/>
        <v>0</v>
      </c>
      <c r="K447" s="64">
        <f t="shared" si="255"/>
        <v>3600</v>
      </c>
      <c r="L447" s="64">
        <f t="shared" si="256"/>
        <v>3600</v>
      </c>
      <c r="M447" s="73"/>
      <c r="N447" s="19"/>
      <c r="Z447" s="35">
        <f t="shared" si="257"/>
        <v>0</v>
      </c>
      <c r="AB447" s="35">
        <f t="shared" si="258"/>
        <v>0</v>
      </c>
      <c r="AC447" s="35">
        <f t="shared" si="259"/>
        <v>0</v>
      </c>
      <c r="AD447" s="35">
        <f t="shared" si="260"/>
        <v>0</v>
      </c>
      <c r="AE447" s="35">
        <f t="shared" si="261"/>
        <v>0</v>
      </c>
      <c r="AF447" s="35">
        <f t="shared" si="262"/>
        <v>0</v>
      </c>
      <c r="AG447" s="35">
        <f t="shared" si="263"/>
        <v>3600</v>
      </c>
      <c r="AH447" s="35">
        <f t="shared" si="264"/>
        <v>0</v>
      </c>
      <c r="AI447" s="77" t="s">
        <v>65</v>
      </c>
      <c r="AJ447" s="64">
        <f t="shared" si="265"/>
        <v>0</v>
      </c>
      <c r="AK447" s="64">
        <f t="shared" si="266"/>
        <v>0</v>
      </c>
      <c r="AL447" s="64">
        <f t="shared" si="267"/>
        <v>3600</v>
      </c>
      <c r="AN447" s="35">
        <v>21</v>
      </c>
      <c r="AO447" s="35">
        <f t="shared" si="268"/>
        <v>0</v>
      </c>
      <c r="AP447" s="35">
        <f t="shared" si="269"/>
        <v>450</v>
      </c>
      <c r="AQ447" s="78" t="s">
        <v>110</v>
      </c>
      <c r="AV447" s="35">
        <f t="shared" si="270"/>
        <v>3600</v>
      </c>
      <c r="AW447" s="35">
        <f t="shared" si="271"/>
        <v>0</v>
      </c>
      <c r="AX447" s="35">
        <f t="shared" si="272"/>
        <v>3600</v>
      </c>
      <c r="AY447" s="80" t="s">
        <v>1700</v>
      </c>
      <c r="AZ447" s="80" t="s">
        <v>1747</v>
      </c>
      <c r="BA447" s="77" t="s">
        <v>1778</v>
      </c>
      <c r="BC447" s="35">
        <f t="shared" si="273"/>
        <v>3600</v>
      </c>
      <c r="BD447" s="35">
        <f t="shared" si="274"/>
        <v>450</v>
      </c>
      <c r="BE447" s="35">
        <v>0</v>
      </c>
      <c r="BF447" s="35">
        <f>447</f>
        <v>447</v>
      </c>
      <c r="BH447" s="64">
        <f t="shared" si="275"/>
        <v>0</v>
      </c>
      <c r="BI447" s="64">
        <f t="shared" si="276"/>
        <v>3600</v>
      </c>
      <c r="BJ447" s="64">
        <f t="shared" si="277"/>
        <v>3600</v>
      </c>
      <c r="BK447" s="64" t="s">
        <v>1790</v>
      </c>
      <c r="BL447" s="35" t="s">
        <v>161</v>
      </c>
    </row>
    <row r="448" spans="1:64">
      <c r="A448" s="47" t="s">
        <v>474</v>
      </c>
      <c r="B448" s="55" t="s">
        <v>65</v>
      </c>
      <c r="C448" s="55" t="s">
        <v>963</v>
      </c>
      <c r="D448" s="165" t="s">
        <v>1429</v>
      </c>
      <c r="E448" s="166"/>
      <c r="F448" s="166"/>
      <c r="G448" s="55" t="s">
        <v>1647</v>
      </c>
      <c r="H448" s="64">
        <v>8</v>
      </c>
      <c r="I448" s="64">
        <v>285</v>
      </c>
      <c r="J448" s="64">
        <f t="shared" si="254"/>
        <v>0</v>
      </c>
      <c r="K448" s="64">
        <f t="shared" si="255"/>
        <v>2280</v>
      </c>
      <c r="L448" s="64">
        <f t="shared" si="256"/>
        <v>2280</v>
      </c>
      <c r="M448" s="73"/>
      <c r="N448" s="19"/>
      <c r="Z448" s="35">
        <f t="shared" si="257"/>
        <v>0</v>
      </c>
      <c r="AB448" s="35">
        <f t="shared" si="258"/>
        <v>0</v>
      </c>
      <c r="AC448" s="35">
        <f t="shared" si="259"/>
        <v>2280</v>
      </c>
      <c r="AD448" s="35">
        <f t="shared" si="260"/>
        <v>0</v>
      </c>
      <c r="AE448" s="35">
        <f t="shared" si="261"/>
        <v>0</v>
      </c>
      <c r="AF448" s="35">
        <f t="shared" si="262"/>
        <v>0</v>
      </c>
      <c r="AG448" s="35">
        <f t="shared" si="263"/>
        <v>0</v>
      </c>
      <c r="AH448" s="35">
        <f t="shared" si="264"/>
        <v>0</v>
      </c>
      <c r="AI448" s="77" t="s">
        <v>65</v>
      </c>
      <c r="AJ448" s="64">
        <f t="shared" si="265"/>
        <v>0</v>
      </c>
      <c r="AK448" s="64">
        <f t="shared" si="266"/>
        <v>0</v>
      </c>
      <c r="AL448" s="64">
        <f t="shared" si="267"/>
        <v>2280</v>
      </c>
      <c r="AN448" s="35">
        <v>21</v>
      </c>
      <c r="AO448" s="35">
        <f t="shared" si="268"/>
        <v>0</v>
      </c>
      <c r="AP448" s="35">
        <f t="shared" si="269"/>
        <v>285</v>
      </c>
      <c r="AQ448" s="78" t="s">
        <v>109</v>
      </c>
      <c r="AV448" s="35">
        <f t="shared" si="270"/>
        <v>2280</v>
      </c>
      <c r="AW448" s="35">
        <f t="shared" si="271"/>
        <v>0</v>
      </c>
      <c r="AX448" s="35">
        <f t="shared" si="272"/>
        <v>2280</v>
      </c>
      <c r="AY448" s="80" t="s">
        <v>1700</v>
      </c>
      <c r="AZ448" s="80" t="s">
        <v>1747</v>
      </c>
      <c r="BA448" s="77" t="s">
        <v>1778</v>
      </c>
      <c r="BC448" s="35">
        <f t="shared" si="273"/>
        <v>2280</v>
      </c>
      <c r="BD448" s="35">
        <f t="shared" si="274"/>
        <v>285</v>
      </c>
      <c r="BE448" s="35">
        <v>0</v>
      </c>
      <c r="BF448" s="35">
        <f>448</f>
        <v>448</v>
      </c>
      <c r="BH448" s="64">
        <f t="shared" si="275"/>
        <v>0</v>
      </c>
      <c r="BI448" s="64">
        <f t="shared" si="276"/>
        <v>2280</v>
      </c>
      <c r="BJ448" s="64">
        <f t="shared" si="277"/>
        <v>2280</v>
      </c>
      <c r="BK448" s="64" t="s">
        <v>1790</v>
      </c>
      <c r="BL448" s="35" t="s">
        <v>161</v>
      </c>
    </row>
    <row r="449" spans="1:64">
      <c r="A449" s="48" t="s">
        <v>475</v>
      </c>
      <c r="B449" s="56" t="s">
        <v>65</v>
      </c>
      <c r="C449" s="56" t="s">
        <v>965</v>
      </c>
      <c r="D449" s="170" t="s">
        <v>1430</v>
      </c>
      <c r="E449" s="171"/>
      <c r="F449" s="171"/>
      <c r="G449" s="56" t="s">
        <v>1631</v>
      </c>
      <c r="H449" s="65">
        <v>8</v>
      </c>
      <c r="I449" s="65">
        <v>197.5</v>
      </c>
      <c r="J449" s="65">
        <f t="shared" si="254"/>
        <v>1580</v>
      </c>
      <c r="K449" s="65">
        <f t="shared" si="255"/>
        <v>0</v>
      </c>
      <c r="L449" s="65">
        <f t="shared" si="256"/>
        <v>1580</v>
      </c>
      <c r="M449" s="74"/>
      <c r="N449" s="19"/>
      <c r="Z449" s="35">
        <f t="shared" si="257"/>
        <v>0</v>
      </c>
      <c r="AB449" s="35">
        <f t="shared" si="258"/>
        <v>1580</v>
      </c>
      <c r="AC449" s="35">
        <f t="shared" si="259"/>
        <v>0</v>
      </c>
      <c r="AD449" s="35">
        <f t="shared" si="260"/>
        <v>0</v>
      </c>
      <c r="AE449" s="35">
        <f t="shared" si="261"/>
        <v>0</v>
      </c>
      <c r="AF449" s="35">
        <f t="shared" si="262"/>
        <v>0</v>
      </c>
      <c r="AG449" s="35">
        <f t="shared" si="263"/>
        <v>0</v>
      </c>
      <c r="AH449" s="35">
        <f t="shared" si="264"/>
        <v>0</v>
      </c>
      <c r="AI449" s="77" t="s">
        <v>65</v>
      </c>
      <c r="AJ449" s="65">
        <f t="shared" si="265"/>
        <v>0</v>
      </c>
      <c r="AK449" s="65">
        <f t="shared" si="266"/>
        <v>0</v>
      </c>
      <c r="AL449" s="65">
        <f t="shared" si="267"/>
        <v>1580</v>
      </c>
      <c r="AN449" s="35">
        <v>21</v>
      </c>
      <c r="AO449" s="35">
        <f t="shared" ref="AO449:AO457" si="278">I449*1</f>
        <v>197.5</v>
      </c>
      <c r="AP449" s="35">
        <f t="shared" ref="AP449:AP457" si="279">I449*(1-1)</f>
        <v>0</v>
      </c>
      <c r="AQ449" s="79" t="s">
        <v>109</v>
      </c>
      <c r="AV449" s="35">
        <f t="shared" si="270"/>
        <v>1580</v>
      </c>
      <c r="AW449" s="35">
        <f t="shared" si="271"/>
        <v>1580</v>
      </c>
      <c r="AX449" s="35">
        <f t="shared" si="272"/>
        <v>0</v>
      </c>
      <c r="AY449" s="80" t="s">
        <v>1700</v>
      </c>
      <c r="AZ449" s="80" t="s">
        <v>1747</v>
      </c>
      <c r="BA449" s="77" t="s">
        <v>1778</v>
      </c>
      <c r="BC449" s="35">
        <f t="shared" si="273"/>
        <v>1580</v>
      </c>
      <c r="BD449" s="35">
        <f t="shared" si="274"/>
        <v>197.5</v>
      </c>
      <c r="BE449" s="35">
        <v>0</v>
      </c>
      <c r="BF449" s="35">
        <f>449</f>
        <v>449</v>
      </c>
      <c r="BH449" s="65">
        <f t="shared" si="275"/>
        <v>1580</v>
      </c>
      <c r="BI449" s="65">
        <f t="shared" si="276"/>
        <v>0</v>
      </c>
      <c r="BJ449" s="65">
        <f t="shared" si="277"/>
        <v>1580</v>
      </c>
      <c r="BK449" s="65" t="s">
        <v>1642</v>
      </c>
      <c r="BL449" s="35" t="s">
        <v>161</v>
      </c>
    </row>
    <row r="450" spans="1:64">
      <c r="A450" s="47" t="s">
        <v>476</v>
      </c>
      <c r="B450" s="55" t="s">
        <v>65</v>
      </c>
      <c r="C450" s="55" t="s">
        <v>966</v>
      </c>
      <c r="D450" s="165" t="s">
        <v>1431</v>
      </c>
      <c r="E450" s="166"/>
      <c r="F450" s="166"/>
      <c r="G450" s="55" t="s">
        <v>1631</v>
      </c>
      <c r="H450" s="64">
        <v>350</v>
      </c>
      <c r="I450" s="64">
        <v>25</v>
      </c>
      <c r="J450" s="64">
        <f t="shared" si="254"/>
        <v>8750</v>
      </c>
      <c r="K450" s="64">
        <f t="shared" si="255"/>
        <v>0</v>
      </c>
      <c r="L450" s="64">
        <f t="shared" si="256"/>
        <v>8750</v>
      </c>
      <c r="M450" s="73"/>
      <c r="N450" s="19"/>
      <c r="Z450" s="35">
        <f t="shared" si="257"/>
        <v>0</v>
      </c>
      <c r="AB450" s="35">
        <f t="shared" si="258"/>
        <v>8750</v>
      </c>
      <c r="AC450" s="35">
        <f t="shared" si="259"/>
        <v>0</v>
      </c>
      <c r="AD450" s="35">
        <f t="shared" si="260"/>
        <v>0</v>
      </c>
      <c r="AE450" s="35">
        <f t="shared" si="261"/>
        <v>0</v>
      </c>
      <c r="AF450" s="35">
        <f t="shared" si="262"/>
        <v>0</v>
      </c>
      <c r="AG450" s="35">
        <f t="shared" si="263"/>
        <v>0</v>
      </c>
      <c r="AH450" s="35">
        <f t="shared" si="264"/>
        <v>0</v>
      </c>
      <c r="AI450" s="77" t="s">
        <v>65</v>
      </c>
      <c r="AJ450" s="64">
        <f t="shared" si="265"/>
        <v>0</v>
      </c>
      <c r="AK450" s="64">
        <f t="shared" si="266"/>
        <v>0</v>
      </c>
      <c r="AL450" s="64">
        <f t="shared" si="267"/>
        <v>8750</v>
      </c>
      <c r="AN450" s="35">
        <v>21</v>
      </c>
      <c r="AO450" s="35">
        <f t="shared" si="278"/>
        <v>25</v>
      </c>
      <c r="AP450" s="35">
        <f t="shared" si="279"/>
        <v>0</v>
      </c>
      <c r="AQ450" s="78" t="s">
        <v>109</v>
      </c>
      <c r="AV450" s="35">
        <f t="shared" si="270"/>
        <v>8750</v>
      </c>
      <c r="AW450" s="35">
        <f t="shared" si="271"/>
        <v>8750</v>
      </c>
      <c r="AX450" s="35">
        <f t="shared" si="272"/>
        <v>0</v>
      </c>
      <c r="AY450" s="80" t="s">
        <v>1700</v>
      </c>
      <c r="AZ450" s="80" t="s">
        <v>1747</v>
      </c>
      <c r="BA450" s="77" t="s">
        <v>1778</v>
      </c>
      <c r="BC450" s="35">
        <f t="shared" si="273"/>
        <v>8750</v>
      </c>
      <c r="BD450" s="35">
        <f t="shared" si="274"/>
        <v>25</v>
      </c>
      <c r="BE450" s="35">
        <v>0</v>
      </c>
      <c r="BF450" s="35">
        <f>450</f>
        <v>450</v>
      </c>
      <c r="BH450" s="64">
        <f t="shared" si="275"/>
        <v>8750</v>
      </c>
      <c r="BI450" s="64">
        <f t="shared" si="276"/>
        <v>0</v>
      </c>
      <c r="BJ450" s="64">
        <f t="shared" si="277"/>
        <v>8750</v>
      </c>
      <c r="BK450" s="64" t="s">
        <v>1790</v>
      </c>
      <c r="BL450" s="35" t="s">
        <v>161</v>
      </c>
    </row>
    <row r="451" spans="1:64">
      <c r="A451" s="48" t="s">
        <v>477</v>
      </c>
      <c r="B451" s="56" t="s">
        <v>65</v>
      </c>
      <c r="C451" s="56" t="s">
        <v>967</v>
      </c>
      <c r="D451" s="170" t="s">
        <v>1432</v>
      </c>
      <c r="E451" s="171"/>
      <c r="F451" s="171"/>
      <c r="G451" s="56" t="s">
        <v>1631</v>
      </c>
      <c r="H451" s="65">
        <v>200</v>
      </c>
      <c r="I451" s="65">
        <v>9.6999999999999993</v>
      </c>
      <c r="J451" s="65">
        <f t="shared" si="254"/>
        <v>1939.9999999999998</v>
      </c>
      <c r="K451" s="65">
        <f t="shared" si="255"/>
        <v>0</v>
      </c>
      <c r="L451" s="65">
        <f t="shared" si="256"/>
        <v>1939.9999999999998</v>
      </c>
      <c r="M451" s="74"/>
      <c r="N451" s="19"/>
      <c r="Z451" s="35">
        <f t="shared" si="257"/>
        <v>0</v>
      </c>
      <c r="AB451" s="35">
        <f t="shared" si="258"/>
        <v>1939.9999999999998</v>
      </c>
      <c r="AC451" s="35">
        <f t="shared" si="259"/>
        <v>0</v>
      </c>
      <c r="AD451" s="35">
        <f t="shared" si="260"/>
        <v>0</v>
      </c>
      <c r="AE451" s="35">
        <f t="shared" si="261"/>
        <v>0</v>
      </c>
      <c r="AF451" s="35">
        <f t="shared" si="262"/>
        <v>0</v>
      </c>
      <c r="AG451" s="35">
        <f t="shared" si="263"/>
        <v>0</v>
      </c>
      <c r="AH451" s="35">
        <f t="shared" si="264"/>
        <v>0</v>
      </c>
      <c r="AI451" s="77" t="s">
        <v>65</v>
      </c>
      <c r="AJ451" s="65">
        <f t="shared" si="265"/>
        <v>0</v>
      </c>
      <c r="AK451" s="65">
        <f t="shared" si="266"/>
        <v>0</v>
      </c>
      <c r="AL451" s="65">
        <f t="shared" si="267"/>
        <v>1939.9999999999998</v>
      </c>
      <c r="AN451" s="35">
        <v>21</v>
      </c>
      <c r="AO451" s="35">
        <f t="shared" si="278"/>
        <v>9.6999999999999993</v>
      </c>
      <c r="AP451" s="35">
        <f t="shared" si="279"/>
        <v>0</v>
      </c>
      <c r="AQ451" s="79" t="s">
        <v>109</v>
      </c>
      <c r="AV451" s="35">
        <f t="shared" si="270"/>
        <v>1939.9999999999998</v>
      </c>
      <c r="AW451" s="35">
        <f t="shared" si="271"/>
        <v>1939.9999999999998</v>
      </c>
      <c r="AX451" s="35">
        <f t="shared" si="272"/>
        <v>0</v>
      </c>
      <c r="AY451" s="80" t="s">
        <v>1700</v>
      </c>
      <c r="AZ451" s="80" t="s">
        <v>1747</v>
      </c>
      <c r="BA451" s="77" t="s">
        <v>1778</v>
      </c>
      <c r="BC451" s="35">
        <f t="shared" si="273"/>
        <v>1939.9999999999998</v>
      </c>
      <c r="BD451" s="35">
        <f t="shared" si="274"/>
        <v>9.6999999999999993</v>
      </c>
      <c r="BE451" s="35">
        <v>0</v>
      </c>
      <c r="BF451" s="35">
        <f>451</f>
        <v>451</v>
      </c>
      <c r="BH451" s="65">
        <f t="shared" si="275"/>
        <v>1939.9999999999998</v>
      </c>
      <c r="BI451" s="65">
        <f t="shared" si="276"/>
        <v>0</v>
      </c>
      <c r="BJ451" s="65">
        <f t="shared" si="277"/>
        <v>1939.9999999999998</v>
      </c>
      <c r="BK451" s="65" t="s">
        <v>1642</v>
      </c>
      <c r="BL451" s="35" t="s">
        <v>161</v>
      </c>
    </row>
    <row r="452" spans="1:64">
      <c r="A452" s="47" t="s">
        <v>478</v>
      </c>
      <c r="B452" s="55" t="s">
        <v>65</v>
      </c>
      <c r="C452" s="55" t="s">
        <v>968</v>
      </c>
      <c r="D452" s="165" t="s">
        <v>1433</v>
      </c>
      <c r="E452" s="166"/>
      <c r="F452" s="166"/>
      <c r="G452" s="55" t="s">
        <v>1633</v>
      </c>
      <c r="H452" s="64">
        <v>450</v>
      </c>
      <c r="I452" s="64">
        <v>65.3</v>
      </c>
      <c r="J452" s="64">
        <f t="shared" si="254"/>
        <v>29385</v>
      </c>
      <c r="K452" s="64">
        <f t="shared" si="255"/>
        <v>0</v>
      </c>
      <c r="L452" s="64">
        <f t="shared" si="256"/>
        <v>29385</v>
      </c>
      <c r="M452" s="73"/>
      <c r="N452" s="19"/>
      <c r="Z452" s="35">
        <f t="shared" si="257"/>
        <v>0</v>
      </c>
      <c r="AB452" s="35">
        <f t="shared" si="258"/>
        <v>0</v>
      </c>
      <c r="AC452" s="35">
        <f t="shared" si="259"/>
        <v>0</v>
      </c>
      <c r="AD452" s="35">
        <f t="shared" si="260"/>
        <v>0</v>
      </c>
      <c r="AE452" s="35">
        <f t="shared" si="261"/>
        <v>0</v>
      </c>
      <c r="AF452" s="35">
        <f t="shared" si="262"/>
        <v>29385</v>
      </c>
      <c r="AG452" s="35">
        <f t="shared" si="263"/>
        <v>0</v>
      </c>
      <c r="AH452" s="35">
        <f t="shared" si="264"/>
        <v>0</v>
      </c>
      <c r="AI452" s="77" t="s">
        <v>65</v>
      </c>
      <c r="AJ452" s="64">
        <f t="shared" si="265"/>
        <v>0</v>
      </c>
      <c r="AK452" s="64">
        <f t="shared" si="266"/>
        <v>0</v>
      </c>
      <c r="AL452" s="64">
        <f t="shared" si="267"/>
        <v>29385</v>
      </c>
      <c r="AN452" s="35">
        <v>21</v>
      </c>
      <c r="AO452" s="35">
        <f t="shared" si="278"/>
        <v>65.3</v>
      </c>
      <c r="AP452" s="35">
        <f t="shared" si="279"/>
        <v>0</v>
      </c>
      <c r="AQ452" s="78" t="s">
        <v>110</v>
      </c>
      <c r="AV452" s="35">
        <f t="shared" si="270"/>
        <v>29385</v>
      </c>
      <c r="AW452" s="35">
        <f t="shared" si="271"/>
        <v>29385</v>
      </c>
      <c r="AX452" s="35">
        <f t="shared" si="272"/>
        <v>0</v>
      </c>
      <c r="AY452" s="80" t="s">
        <v>1700</v>
      </c>
      <c r="AZ452" s="80" t="s">
        <v>1747</v>
      </c>
      <c r="BA452" s="77" t="s">
        <v>1778</v>
      </c>
      <c r="BC452" s="35">
        <f t="shared" si="273"/>
        <v>29385</v>
      </c>
      <c r="BD452" s="35">
        <f t="shared" si="274"/>
        <v>65.3</v>
      </c>
      <c r="BE452" s="35">
        <v>0</v>
      </c>
      <c r="BF452" s="35">
        <f>452</f>
        <v>452</v>
      </c>
      <c r="BH452" s="64">
        <f t="shared" si="275"/>
        <v>29385</v>
      </c>
      <c r="BI452" s="64">
        <f t="shared" si="276"/>
        <v>0</v>
      </c>
      <c r="BJ452" s="64">
        <f t="shared" si="277"/>
        <v>29385</v>
      </c>
      <c r="BK452" s="64" t="s">
        <v>1790</v>
      </c>
      <c r="BL452" s="35" t="s">
        <v>161</v>
      </c>
    </row>
    <row r="453" spans="1:64">
      <c r="A453" s="47" t="s">
        <v>479</v>
      </c>
      <c r="B453" s="55" t="s">
        <v>65</v>
      </c>
      <c r="C453" s="55" t="s">
        <v>963</v>
      </c>
      <c r="D453" s="165" t="s">
        <v>1434</v>
      </c>
      <c r="E453" s="166"/>
      <c r="F453" s="166"/>
      <c r="G453" s="55" t="s">
        <v>1631</v>
      </c>
      <c r="H453" s="64">
        <v>26</v>
      </c>
      <c r="I453" s="64">
        <v>38.700000000000003</v>
      </c>
      <c r="J453" s="64">
        <f t="shared" si="254"/>
        <v>1006.2</v>
      </c>
      <c r="K453" s="64">
        <f t="shared" si="255"/>
        <v>0</v>
      </c>
      <c r="L453" s="64">
        <f t="shared" si="256"/>
        <v>1006.2</v>
      </c>
      <c r="M453" s="73"/>
      <c r="N453" s="19"/>
      <c r="Z453" s="35">
        <f t="shared" si="257"/>
        <v>0</v>
      </c>
      <c r="AB453" s="35">
        <f t="shared" si="258"/>
        <v>1006.2</v>
      </c>
      <c r="AC453" s="35">
        <f t="shared" si="259"/>
        <v>0</v>
      </c>
      <c r="AD453" s="35">
        <f t="shared" si="260"/>
        <v>0</v>
      </c>
      <c r="AE453" s="35">
        <f t="shared" si="261"/>
        <v>0</v>
      </c>
      <c r="AF453" s="35">
        <f t="shared" si="262"/>
        <v>0</v>
      </c>
      <c r="AG453" s="35">
        <f t="shared" si="263"/>
        <v>0</v>
      </c>
      <c r="AH453" s="35">
        <f t="shared" si="264"/>
        <v>0</v>
      </c>
      <c r="AI453" s="77" t="s">
        <v>65</v>
      </c>
      <c r="AJ453" s="64">
        <f t="shared" si="265"/>
        <v>0</v>
      </c>
      <c r="AK453" s="64">
        <f t="shared" si="266"/>
        <v>0</v>
      </c>
      <c r="AL453" s="64">
        <f t="shared" si="267"/>
        <v>1006.2</v>
      </c>
      <c r="AN453" s="35">
        <v>21</v>
      </c>
      <c r="AO453" s="35">
        <f t="shared" si="278"/>
        <v>38.700000000000003</v>
      </c>
      <c r="AP453" s="35">
        <f t="shared" si="279"/>
        <v>0</v>
      </c>
      <c r="AQ453" s="78" t="s">
        <v>109</v>
      </c>
      <c r="AV453" s="35">
        <f t="shared" si="270"/>
        <v>1006.2</v>
      </c>
      <c r="AW453" s="35">
        <f t="shared" si="271"/>
        <v>1006.2</v>
      </c>
      <c r="AX453" s="35">
        <f t="shared" si="272"/>
        <v>0</v>
      </c>
      <c r="AY453" s="80" t="s">
        <v>1700</v>
      </c>
      <c r="AZ453" s="80" t="s">
        <v>1747</v>
      </c>
      <c r="BA453" s="77" t="s">
        <v>1778</v>
      </c>
      <c r="BC453" s="35">
        <f t="shared" si="273"/>
        <v>1006.2</v>
      </c>
      <c r="BD453" s="35">
        <f t="shared" si="274"/>
        <v>38.700000000000003</v>
      </c>
      <c r="BE453" s="35">
        <v>0</v>
      </c>
      <c r="BF453" s="35">
        <f>453</f>
        <v>453</v>
      </c>
      <c r="BH453" s="64">
        <f t="shared" si="275"/>
        <v>1006.2</v>
      </c>
      <c r="BI453" s="64">
        <f t="shared" si="276"/>
        <v>0</v>
      </c>
      <c r="BJ453" s="64">
        <f t="shared" si="277"/>
        <v>1006.2</v>
      </c>
      <c r="BK453" s="64" t="s">
        <v>1790</v>
      </c>
      <c r="BL453" s="35" t="s">
        <v>161</v>
      </c>
    </row>
    <row r="454" spans="1:64">
      <c r="A454" s="47" t="s">
        <v>480</v>
      </c>
      <c r="B454" s="55" t="s">
        <v>65</v>
      </c>
      <c r="C454" s="55" t="s">
        <v>963</v>
      </c>
      <c r="D454" s="165" t="s">
        <v>1435</v>
      </c>
      <c r="E454" s="166"/>
      <c r="F454" s="166"/>
      <c r="G454" s="55" t="s">
        <v>1631</v>
      </c>
      <c r="H454" s="64">
        <v>32</v>
      </c>
      <c r="I454" s="64">
        <v>465.2</v>
      </c>
      <c r="J454" s="64">
        <f t="shared" si="254"/>
        <v>14886.4</v>
      </c>
      <c r="K454" s="64">
        <f t="shared" si="255"/>
        <v>0</v>
      </c>
      <c r="L454" s="64">
        <f t="shared" si="256"/>
        <v>14886.4</v>
      </c>
      <c r="M454" s="73"/>
      <c r="N454" s="19"/>
      <c r="Z454" s="35">
        <f t="shared" si="257"/>
        <v>0</v>
      </c>
      <c r="AB454" s="35">
        <f t="shared" si="258"/>
        <v>14886.4</v>
      </c>
      <c r="AC454" s="35">
        <f t="shared" si="259"/>
        <v>0</v>
      </c>
      <c r="AD454" s="35">
        <f t="shared" si="260"/>
        <v>0</v>
      </c>
      <c r="AE454" s="35">
        <f t="shared" si="261"/>
        <v>0</v>
      </c>
      <c r="AF454" s="35">
        <f t="shared" si="262"/>
        <v>0</v>
      </c>
      <c r="AG454" s="35">
        <f t="shared" si="263"/>
        <v>0</v>
      </c>
      <c r="AH454" s="35">
        <f t="shared" si="264"/>
        <v>0</v>
      </c>
      <c r="AI454" s="77" t="s">
        <v>65</v>
      </c>
      <c r="AJ454" s="64">
        <f t="shared" si="265"/>
        <v>0</v>
      </c>
      <c r="AK454" s="64">
        <f t="shared" si="266"/>
        <v>0</v>
      </c>
      <c r="AL454" s="64">
        <f t="shared" si="267"/>
        <v>14886.4</v>
      </c>
      <c r="AN454" s="35">
        <v>21</v>
      </c>
      <c r="AO454" s="35">
        <f t="shared" si="278"/>
        <v>465.2</v>
      </c>
      <c r="AP454" s="35">
        <f t="shared" si="279"/>
        <v>0</v>
      </c>
      <c r="AQ454" s="78" t="s">
        <v>109</v>
      </c>
      <c r="AV454" s="35">
        <f t="shared" si="270"/>
        <v>14886.4</v>
      </c>
      <c r="AW454" s="35">
        <f t="shared" si="271"/>
        <v>14886.4</v>
      </c>
      <c r="AX454" s="35">
        <f t="shared" si="272"/>
        <v>0</v>
      </c>
      <c r="AY454" s="80" t="s">
        <v>1700</v>
      </c>
      <c r="AZ454" s="80" t="s">
        <v>1747</v>
      </c>
      <c r="BA454" s="77" t="s">
        <v>1778</v>
      </c>
      <c r="BC454" s="35">
        <f t="shared" si="273"/>
        <v>14886.4</v>
      </c>
      <c r="BD454" s="35">
        <f t="shared" si="274"/>
        <v>465.2</v>
      </c>
      <c r="BE454" s="35">
        <v>0</v>
      </c>
      <c r="BF454" s="35">
        <f>454</f>
        <v>454</v>
      </c>
      <c r="BH454" s="64">
        <f t="shared" si="275"/>
        <v>14886.4</v>
      </c>
      <c r="BI454" s="64">
        <f t="shared" si="276"/>
        <v>0</v>
      </c>
      <c r="BJ454" s="64">
        <f t="shared" si="277"/>
        <v>14886.4</v>
      </c>
      <c r="BK454" s="64" t="s">
        <v>1790</v>
      </c>
      <c r="BL454" s="35" t="s">
        <v>161</v>
      </c>
    </row>
    <row r="455" spans="1:64">
      <c r="A455" s="47" t="s">
        <v>481</v>
      </c>
      <c r="B455" s="55" t="s">
        <v>65</v>
      </c>
      <c r="C455" s="55" t="s">
        <v>963</v>
      </c>
      <c r="D455" s="165" t="s">
        <v>1436</v>
      </c>
      <c r="E455" s="166"/>
      <c r="F455" s="166"/>
      <c r="G455" s="55" t="s">
        <v>1631</v>
      </c>
      <c r="H455" s="64">
        <v>26</v>
      </c>
      <c r="I455" s="64">
        <v>200.3</v>
      </c>
      <c r="J455" s="64">
        <f t="shared" si="254"/>
        <v>5207.8</v>
      </c>
      <c r="K455" s="64">
        <f t="shared" si="255"/>
        <v>0</v>
      </c>
      <c r="L455" s="64">
        <f t="shared" si="256"/>
        <v>5207.8</v>
      </c>
      <c r="M455" s="73"/>
      <c r="N455" s="19"/>
      <c r="Z455" s="35">
        <f t="shared" si="257"/>
        <v>0</v>
      </c>
      <c r="AB455" s="35">
        <f t="shared" si="258"/>
        <v>5207.8</v>
      </c>
      <c r="AC455" s="35">
        <f t="shared" si="259"/>
        <v>0</v>
      </c>
      <c r="AD455" s="35">
        <f t="shared" si="260"/>
        <v>0</v>
      </c>
      <c r="AE455" s="35">
        <f t="shared" si="261"/>
        <v>0</v>
      </c>
      <c r="AF455" s="35">
        <f t="shared" si="262"/>
        <v>0</v>
      </c>
      <c r="AG455" s="35">
        <f t="shared" si="263"/>
        <v>0</v>
      </c>
      <c r="AH455" s="35">
        <f t="shared" si="264"/>
        <v>0</v>
      </c>
      <c r="AI455" s="77" t="s">
        <v>65</v>
      </c>
      <c r="AJ455" s="64">
        <f t="shared" si="265"/>
        <v>0</v>
      </c>
      <c r="AK455" s="64">
        <f t="shared" si="266"/>
        <v>0</v>
      </c>
      <c r="AL455" s="64">
        <f t="shared" si="267"/>
        <v>5207.8</v>
      </c>
      <c r="AN455" s="35">
        <v>21</v>
      </c>
      <c r="AO455" s="35">
        <f t="shared" si="278"/>
        <v>200.3</v>
      </c>
      <c r="AP455" s="35">
        <f t="shared" si="279"/>
        <v>0</v>
      </c>
      <c r="AQ455" s="78" t="s">
        <v>109</v>
      </c>
      <c r="AV455" s="35">
        <f t="shared" si="270"/>
        <v>5207.8</v>
      </c>
      <c r="AW455" s="35">
        <f t="shared" si="271"/>
        <v>5207.8</v>
      </c>
      <c r="AX455" s="35">
        <f t="shared" si="272"/>
        <v>0</v>
      </c>
      <c r="AY455" s="80" t="s">
        <v>1700</v>
      </c>
      <c r="AZ455" s="80" t="s">
        <v>1747</v>
      </c>
      <c r="BA455" s="77" t="s">
        <v>1778</v>
      </c>
      <c r="BC455" s="35">
        <f t="shared" si="273"/>
        <v>5207.8</v>
      </c>
      <c r="BD455" s="35">
        <f t="shared" si="274"/>
        <v>200.3</v>
      </c>
      <c r="BE455" s="35">
        <v>0</v>
      </c>
      <c r="BF455" s="35">
        <f>455</f>
        <v>455</v>
      </c>
      <c r="BH455" s="64">
        <f t="shared" si="275"/>
        <v>5207.8</v>
      </c>
      <c r="BI455" s="64">
        <f t="shared" si="276"/>
        <v>0</v>
      </c>
      <c r="BJ455" s="64">
        <f t="shared" si="277"/>
        <v>5207.8</v>
      </c>
      <c r="BK455" s="64" t="s">
        <v>1790</v>
      </c>
      <c r="BL455" s="35" t="s">
        <v>161</v>
      </c>
    </row>
    <row r="456" spans="1:64">
      <c r="A456" s="47" t="s">
        <v>482</v>
      </c>
      <c r="B456" s="55" t="s">
        <v>65</v>
      </c>
      <c r="C456" s="55" t="s">
        <v>963</v>
      </c>
      <c r="D456" s="165" t="s">
        <v>1437</v>
      </c>
      <c r="E456" s="166"/>
      <c r="F456" s="166"/>
      <c r="G456" s="55" t="s">
        <v>1631</v>
      </c>
      <c r="H456" s="64">
        <v>16</v>
      </c>
      <c r="I456" s="64">
        <v>65</v>
      </c>
      <c r="J456" s="64">
        <f t="shared" si="254"/>
        <v>1040</v>
      </c>
      <c r="K456" s="64">
        <f t="shared" si="255"/>
        <v>0</v>
      </c>
      <c r="L456" s="64">
        <f t="shared" si="256"/>
        <v>1040</v>
      </c>
      <c r="M456" s="73"/>
      <c r="N456" s="19"/>
      <c r="Z456" s="35">
        <f t="shared" si="257"/>
        <v>0</v>
      </c>
      <c r="AB456" s="35">
        <f t="shared" si="258"/>
        <v>1040</v>
      </c>
      <c r="AC456" s="35">
        <f t="shared" si="259"/>
        <v>0</v>
      </c>
      <c r="AD456" s="35">
        <f t="shared" si="260"/>
        <v>0</v>
      </c>
      <c r="AE456" s="35">
        <f t="shared" si="261"/>
        <v>0</v>
      </c>
      <c r="AF456" s="35">
        <f t="shared" si="262"/>
        <v>0</v>
      </c>
      <c r="AG456" s="35">
        <f t="shared" si="263"/>
        <v>0</v>
      </c>
      <c r="AH456" s="35">
        <f t="shared" si="264"/>
        <v>0</v>
      </c>
      <c r="AI456" s="77" t="s">
        <v>65</v>
      </c>
      <c r="AJ456" s="64">
        <f t="shared" si="265"/>
        <v>0</v>
      </c>
      <c r="AK456" s="64">
        <f t="shared" si="266"/>
        <v>0</v>
      </c>
      <c r="AL456" s="64">
        <f t="shared" si="267"/>
        <v>1040</v>
      </c>
      <c r="AN456" s="35">
        <v>21</v>
      </c>
      <c r="AO456" s="35">
        <f t="shared" si="278"/>
        <v>65</v>
      </c>
      <c r="AP456" s="35">
        <f t="shared" si="279"/>
        <v>0</v>
      </c>
      <c r="AQ456" s="78" t="s">
        <v>109</v>
      </c>
      <c r="AV456" s="35">
        <f t="shared" si="270"/>
        <v>1040</v>
      </c>
      <c r="AW456" s="35">
        <f t="shared" si="271"/>
        <v>1040</v>
      </c>
      <c r="AX456" s="35">
        <f t="shared" si="272"/>
        <v>0</v>
      </c>
      <c r="AY456" s="80" t="s">
        <v>1700</v>
      </c>
      <c r="AZ456" s="80" t="s">
        <v>1747</v>
      </c>
      <c r="BA456" s="77" t="s">
        <v>1778</v>
      </c>
      <c r="BC456" s="35">
        <f t="shared" si="273"/>
        <v>1040</v>
      </c>
      <c r="BD456" s="35">
        <f t="shared" si="274"/>
        <v>65</v>
      </c>
      <c r="BE456" s="35">
        <v>0</v>
      </c>
      <c r="BF456" s="35">
        <f>456</f>
        <v>456</v>
      </c>
      <c r="BH456" s="64">
        <f t="shared" si="275"/>
        <v>1040</v>
      </c>
      <c r="BI456" s="64">
        <f t="shared" si="276"/>
        <v>0</v>
      </c>
      <c r="BJ456" s="64">
        <f t="shared" si="277"/>
        <v>1040</v>
      </c>
      <c r="BK456" s="64" t="s">
        <v>1790</v>
      </c>
      <c r="BL456" s="35" t="s">
        <v>161</v>
      </c>
    </row>
    <row r="457" spans="1:64">
      <c r="A457" s="47" t="s">
        <v>483</v>
      </c>
      <c r="B457" s="55" t="s">
        <v>65</v>
      </c>
      <c r="C457" s="55" t="s">
        <v>963</v>
      </c>
      <c r="D457" s="165" t="s">
        <v>1438</v>
      </c>
      <c r="E457" s="166"/>
      <c r="F457" s="166"/>
      <c r="G457" s="55" t="s">
        <v>1631</v>
      </c>
      <c r="H457" s="64">
        <v>1</v>
      </c>
      <c r="I457" s="64">
        <v>1500</v>
      </c>
      <c r="J457" s="64">
        <f t="shared" si="254"/>
        <v>1500</v>
      </c>
      <c r="K457" s="64">
        <f t="shared" si="255"/>
        <v>0</v>
      </c>
      <c r="L457" s="64">
        <f t="shared" si="256"/>
        <v>1500</v>
      </c>
      <c r="M457" s="73"/>
      <c r="N457" s="19"/>
      <c r="Z457" s="35">
        <f t="shared" si="257"/>
        <v>0</v>
      </c>
      <c r="AB457" s="35">
        <f t="shared" si="258"/>
        <v>1500</v>
      </c>
      <c r="AC457" s="35">
        <f t="shared" si="259"/>
        <v>0</v>
      </c>
      <c r="AD457" s="35">
        <f t="shared" si="260"/>
        <v>0</v>
      </c>
      <c r="AE457" s="35">
        <f t="shared" si="261"/>
        <v>0</v>
      </c>
      <c r="AF457" s="35">
        <f t="shared" si="262"/>
        <v>0</v>
      </c>
      <c r="AG457" s="35">
        <f t="shared" si="263"/>
        <v>0</v>
      </c>
      <c r="AH457" s="35">
        <f t="shared" si="264"/>
        <v>0</v>
      </c>
      <c r="AI457" s="77" t="s">
        <v>65</v>
      </c>
      <c r="AJ457" s="64">
        <f t="shared" si="265"/>
        <v>0</v>
      </c>
      <c r="AK457" s="64">
        <f t="shared" si="266"/>
        <v>0</v>
      </c>
      <c r="AL457" s="64">
        <f t="shared" si="267"/>
        <v>1500</v>
      </c>
      <c r="AN457" s="35">
        <v>21</v>
      </c>
      <c r="AO457" s="35">
        <f t="shared" si="278"/>
        <v>1500</v>
      </c>
      <c r="AP457" s="35">
        <f t="shared" si="279"/>
        <v>0</v>
      </c>
      <c r="AQ457" s="78" t="s">
        <v>109</v>
      </c>
      <c r="AV457" s="35">
        <f t="shared" si="270"/>
        <v>1500</v>
      </c>
      <c r="AW457" s="35">
        <f t="shared" si="271"/>
        <v>1500</v>
      </c>
      <c r="AX457" s="35">
        <f t="shared" si="272"/>
        <v>0</v>
      </c>
      <c r="AY457" s="80" t="s">
        <v>1700</v>
      </c>
      <c r="AZ457" s="80" t="s">
        <v>1747</v>
      </c>
      <c r="BA457" s="77" t="s">
        <v>1778</v>
      </c>
      <c r="BC457" s="35">
        <f t="shared" si="273"/>
        <v>1500</v>
      </c>
      <c r="BD457" s="35">
        <f t="shared" si="274"/>
        <v>1500</v>
      </c>
      <c r="BE457" s="35">
        <v>0</v>
      </c>
      <c r="BF457" s="35">
        <f>457</f>
        <v>457</v>
      </c>
      <c r="BH457" s="64">
        <f t="shared" si="275"/>
        <v>1500</v>
      </c>
      <c r="BI457" s="64">
        <f t="shared" si="276"/>
        <v>0</v>
      </c>
      <c r="BJ457" s="64">
        <f t="shared" si="277"/>
        <v>1500</v>
      </c>
      <c r="BK457" s="64" t="s">
        <v>1790</v>
      </c>
      <c r="BL457" s="35" t="s">
        <v>161</v>
      </c>
    </row>
    <row r="458" spans="1:64">
      <c r="A458" s="46"/>
      <c r="B458" s="54" t="s">
        <v>65</v>
      </c>
      <c r="C458" s="54" t="s">
        <v>162</v>
      </c>
      <c r="D458" s="163" t="s">
        <v>212</v>
      </c>
      <c r="E458" s="164"/>
      <c r="F458" s="164"/>
      <c r="G458" s="61" t="s">
        <v>57</v>
      </c>
      <c r="H458" s="61" t="s">
        <v>57</v>
      </c>
      <c r="I458" s="61" t="s">
        <v>57</v>
      </c>
      <c r="J458" s="83">
        <f>SUM(J459:J463)</f>
        <v>0</v>
      </c>
      <c r="K458" s="83">
        <f>SUM(K459:K463)</f>
        <v>6541</v>
      </c>
      <c r="L458" s="83">
        <f>SUM(L459:L463)</f>
        <v>6541</v>
      </c>
      <c r="M458" s="72"/>
      <c r="N458" s="19"/>
      <c r="AI458" s="77" t="s">
        <v>65</v>
      </c>
      <c r="AS458" s="83">
        <f>SUM(AJ459:AJ463)</f>
        <v>0</v>
      </c>
      <c r="AT458" s="83">
        <f>SUM(AK459:AK463)</f>
        <v>0</v>
      </c>
      <c r="AU458" s="83">
        <f>SUM(AL459:AL463)</f>
        <v>6541</v>
      </c>
    </row>
    <row r="459" spans="1:64">
      <c r="A459" s="47" t="s">
        <v>484</v>
      </c>
      <c r="B459" s="55" t="s">
        <v>65</v>
      </c>
      <c r="C459" s="55" t="s">
        <v>969</v>
      </c>
      <c r="D459" s="165" t="s">
        <v>1439</v>
      </c>
      <c r="E459" s="166"/>
      <c r="F459" s="166"/>
      <c r="G459" s="55" t="s">
        <v>1633</v>
      </c>
      <c r="H459" s="64">
        <v>15</v>
      </c>
      <c r="I459" s="64">
        <v>105</v>
      </c>
      <c r="J459" s="64">
        <f>H459*AO459</f>
        <v>0</v>
      </c>
      <c r="K459" s="64">
        <f>H459*AP459</f>
        <v>1575</v>
      </c>
      <c r="L459" s="64">
        <f>H459*I459</f>
        <v>1575</v>
      </c>
      <c r="M459" s="73"/>
      <c r="N459" s="19"/>
      <c r="Z459" s="35">
        <f>IF(AQ459="5",BJ459,0)</f>
        <v>0</v>
      </c>
      <c r="AB459" s="35">
        <f>IF(AQ459="1",BH459,0)</f>
        <v>0</v>
      </c>
      <c r="AC459" s="35">
        <f>IF(AQ459="1",BI459,0)</f>
        <v>0</v>
      </c>
      <c r="AD459" s="35">
        <f>IF(AQ459="7",BH459,0)</f>
        <v>0</v>
      </c>
      <c r="AE459" s="35">
        <f>IF(AQ459="7",BI459,0)</f>
        <v>0</v>
      </c>
      <c r="AF459" s="35">
        <f>IF(AQ459="2",BH459,0)</f>
        <v>0</v>
      </c>
      <c r="AG459" s="35">
        <f>IF(AQ459="2",BI459,0)</f>
        <v>1575</v>
      </c>
      <c r="AH459" s="35">
        <f>IF(AQ459="0",BJ459,0)</f>
        <v>0</v>
      </c>
      <c r="AI459" s="77" t="s">
        <v>65</v>
      </c>
      <c r="AJ459" s="64">
        <f>IF(AN459=0,L459,0)</f>
        <v>0</v>
      </c>
      <c r="AK459" s="64">
        <f>IF(AN459=15,L459,0)</f>
        <v>0</v>
      </c>
      <c r="AL459" s="64">
        <f>IF(AN459=21,L459,0)</f>
        <v>1575</v>
      </c>
      <c r="AN459" s="35">
        <v>21</v>
      </c>
      <c r="AO459" s="35">
        <f>I459*0</f>
        <v>0</v>
      </c>
      <c r="AP459" s="35">
        <f>I459*(1-0)</f>
        <v>105</v>
      </c>
      <c r="AQ459" s="78" t="s">
        <v>110</v>
      </c>
      <c r="AV459" s="35">
        <f>AW459+AX459</f>
        <v>1575</v>
      </c>
      <c r="AW459" s="35">
        <f>H459*AO459</f>
        <v>0</v>
      </c>
      <c r="AX459" s="35">
        <f>H459*AP459</f>
        <v>1575</v>
      </c>
      <c r="AY459" s="80" t="s">
        <v>1701</v>
      </c>
      <c r="AZ459" s="80" t="s">
        <v>1747</v>
      </c>
      <c r="BA459" s="77" t="s">
        <v>1778</v>
      </c>
      <c r="BC459" s="35">
        <f>AW459+AX459</f>
        <v>1575</v>
      </c>
      <c r="BD459" s="35">
        <f>I459/(100-BE459)*100</f>
        <v>105</v>
      </c>
      <c r="BE459" s="35">
        <v>0</v>
      </c>
      <c r="BF459" s="35">
        <f>459</f>
        <v>459</v>
      </c>
      <c r="BH459" s="64">
        <f>H459*AO459</f>
        <v>0</v>
      </c>
      <c r="BI459" s="64">
        <f>H459*AP459</f>
        <v>1575</v>
      </c>
      <c r="BJ459" s="64">
        <f>H459*I459</f>
        <v>1575</v>
      </c>
      <c r="BK459" s="64" t="s">
        <v>1790</v>
      </c>
      <c r="BL459" s="35" t="s">
        <v>162</v>
      </c>
    </row>
    <row r="460" spans="1:64">
      <c r="A460" s="47" t="s">
        <v>485</v>
      </c>
      <c r="B460" s="55" t="s">
        <v>65</v>
      </c>
      <c r="C460" s="55" t="s">
        <v>970</v>
      </c>
      <c r="D460" s="165" t="s">
        <v>1440</v>
      </c>
      <c r="E460" s="166"/>
      <c r="F460" s="166"/>
      <c r="G460" s="55" t="s">
        <v>1633</v>
      </c>
      <c r="H460" s="64">
        <v>15</v>
      </c>
      <c r="I460" s="64">
        <v>60</v>
      </c>
      <c r="J460" s="64">
        <f>H460*AO460</f>
        <v>0</v>
      </c>
      <c r="K460" s="64">
        <f>H460*AP460</f>
        <v>900</v>
      </c>
      <c r="L460" s="64">
        <f>H460*I460</f>
        <v>900</v>
      </c>
      <c r="M460" s="73"/>
      <c r="N460" s="19"/>
      <c r="Z460" s="35">
        <f>IF(AQ460="5",BJ460,0)</f>
        <v>0</v>
      </c>
      <c r="AB460" s="35">
        <f>IF(AQ460="1",BH460,0)</f>
        <v>0</v>
      </c>
      <c r="AC460" s="35">
        <f>IF(AQ460="1",BI460,0)</f>
        <v>0</v>
      </c>
      <c r="AD460" s="35">
        <f>IF(AQ460="7",BH460,0)</f>
        <v>0</v>
      </c>
      <c r="AE460" s="35">
        <f>IF(AQ460="7",BI460,0)</f>
        <v>0</v>
      </c>
      <c r="AF460" s="35">
        <f>IF(AQ460="2",BH460,0)</f>
        <v>0</v>
      </c>
      <c r="AG460" s="35">
        <f>IF(AQ460="2",BI460,0)</f>
        <v>900</v>
      </c>
      <c r="AH460" s="35">
        <f>IF(AQ460="0",BJ460,0)</f>
        <v>0</v>
      </c>
      <c r="AI460" s="77" t="s">
        <v>65</v>
      </c>
      <c r="AJ460" s="64">
        <f>IF(AN460=0,L460,0)</f>
        <v>0</v>
      </c>
      <c r="AK460" s="64">
        <f>IF(AN460=15,L460,0)</f>
        <v>0</v>
      </c>
      <c r="AL460" s="64">
        <f>IF(AN460=21,L460,0)</f>
        <v>900</v>
      </c>
      <c r="AN460" s="35">
        <v>21</v>
      </c>
      <c r="AO460" s="35">
        <f>I460*0</f>
        <v>0</v>
      </c>
      <c r="AP460" s="35">
        <f>I460*(1-0)</f>
        <v>60</v>
      </c>
      <c r="AQ460" s="78" t="s">
        <v>110</v>
      </c>
      <c r="AV460" s="35">
        <f>AW460+AX460</f>
        <v>900</v>
      </c>
      <c r="AW460" s="35">
        <f>H460*AO460</f>
        <v>0</v>
      </c>
      <c r="AX460" s="35">
        <f>H460*AP460</f>
        <v>900</v>
      </c>
      <c r="AY460" s="80" t="s">
        <v>1701</v>
      </c>
      <c r="AZ460" s="80" t="s">
        <v>1747</v>
      </c>
      <c r="BA460" s="77" t="s">
        <v>1778</v>
      </c>
      <c r="BC460" s="35">
        <f>AW460+AX460</f>
        <v>900</v>
      </c>
      <c r="BD460" s="35">
        <f>I460/(100-BE460)*100</f>
        <v>60</v>
      </c>
      <c r="BE460" s="35">
        <v>0</v>
      </c>
      <c r="BF460" s="35">
        <f>460</f>
        <v>460</v>
      </c>
      <c r="BH460" s="64">
        <f>H460*AO460</f>
        <v>0</v>
      </c>
      <c r="BI460" s="64">
        <f>H460*AP460</f>
        <v>900</v>
      </c>
      <c r="BJ460" s="64">
        <f>H460*I460</f>
        <v>900</v>
      </c>
      <c r="BK460" s="64" t="s">
        <v>1790</v>
      </c>
      <c r="BL460" s="35" t="s">
        <v>162</v>
      </c>
    </row>
    <row r="461" spans="1:64">
      <c r="A461" s="47" t="s">
        <v>486</v>
      </c>
      <c r="B461" s="55" t="s">
        <v>65</v>
      </c>
      <c r="C461" s="55" t="s">
        <v>971</v>
      </c>
      <c r="D461" s="165" t="s">
        <v>1441</v>
      </c>
      <c r="E461" s="166"/>
      <c r="F461" s="166"/>
      <c r="G461" s="55" t="s">
        <v>1638</v>
      </c>
      <c r="H461" s="64">
        <v>1</v>
      </c>
      <c r="I461" s="64">
        <v>2171</v>
      </c>
      <c r="J461" s="64">
        <f>H461*AO461</f>
        <v>0</v>
      </c>
      <c r="K461" s="64">
        <f>H461*AP461</f>
        <v>2171</v>
      </c>
      <c r="L461" s="64">
        <f>H461*I461</f>
        <v>2171</v>
      </c>
      <c r="M461" s="73"/>
      <c r="N461" s="19"/>
      <c r="Z461" s="35">
        <f>IF(AQ461="5",BJ461,0)</f>
        <v>0</v>
      </c>
      <c r="AB461" s="35">
        <f>IF(AQ461="1",BH461,0)</f>
        <v>0</v>
      </c>
      <c r="AC461" s="35">
        <f>IF(AQ461="1",BI461,0)</f>
        <v>0</v>
      </c>
      <c r="AD461" s="35">
        <f>IF(AQ461="7",BH461,0)</f>
        <v>0</v>
      </c>
      <c r="AE461" s="35">
        <f>IF(AQ461="7",BI461,0)</f>
        <v>0</v>
      </c>
      <c r="AF461" s="35">
        <f>IF(AQ461="2",BH461,0)</f>
        <v>0</v>
      </c>
      <c r="AG461" s="35">
        <f>IF(AQ461="2",BI461,0)</f>
        <v>2171</v>
      </c>
      <c r="AH461" s="35">
        <f>IF(AQ461="0",BJ461,0)</f>
        <v>0</v>
      </c>
      <c r="AI461" s="77" t="s">
        <v>65</v>
      </c>
      <c r="AJ461" s="64">
        <f>IF(AN461=0,L461,0)</f>
        <v>0</v>
      </c>
      <c r="AK461" s="64">
        <f>IF(AN461=15,L461,0)</f>
        <v>0</v>
      </c>
      <c r="AL461" s="64">
        <f>IF(AN461=21,L461,0)</f>
        <v>2171</v>
      </c>
      <c r="AN461" s="35">
        <v>21</v>
      </c>
      <c r="AO461" s="35">
        <f>I461*0</f>
        <v>0</v>
      </c>
      <c r="AP461" s="35">
        <f>I461*(1-0)</f>
        <v>2171</v>
      </c>
      <c r="AQ461" s="78" t="s">
        <v>110</v>
      </c>
      <c r="AV461" s="35">
        <f>AW461+AX461</f>
        <v>2171</v>
      </c>
      <c r="AW461" s="35">
        <f>H461*AO461</f>
        <v>0</v>
      </c>
      <c r="AX461" s="35">
        <f>H461*AP461</f>
        <v>2171</v>
      </c>
      <c r="AY461" s="80" t="s">
        <v>1701</v>
      </c>
      <c r="AZ461" s="80" t="s">
        <v>1747</v>
      </c>
      <c r="BA461" s="77" t="s">
        <v>1778</v>
      </c>
      <c r="BC461" s="35">
        <f>AW461+AX461</f>
        <v>2171</v>
      </c>
      <c r="BD461" s="35">
        <f>I461/(100-BE461)*100</f>
        <v>2171</v>
      </c>
      <c r="BE461" s="35">
        <v>0</v>
      </c>
      <c r="BF461" s="35">
        <f>461</f>
        <v>461</v>
      </c>
      <c r="BH461" s="64">
        <f>H461*AO461</f>
        <v>0</v>
      </c>
      <c r="BI461" s="64">
        <f>H461*AP461</f>
        <v>2171</v>
      </c>
      <c r="BJ461" s="64">
        <f>H461*I461</f>
        <v>2171</v>
      </c>
      <c r="BK461" s="64" t="s">
        <v>1790</v>
      </c>
      <c r="BL461" s="35" t="s">
        <v>162</v>
      </c>
    </row>
    <row r="462" spans="1:64">
      <c r="A462" s="47" t="s">
        <v>487</v>
      </c>
      <c r="B462" s="55" t="s">
        <v>65</v>
      </c>
      <c r="C462" s="55" t="s">
        <v>972</v>
      </c>
      <c r="D462" s="165" t="s">
        <v>1442</v>
      </c>
      <c r="E462" s="166"/>
      <c r="F462" s="166"/>
      <c r="G462" s="55" t="s">
        <v>1632</v>
      </c>
      <c r="H462" s="64">
        <v>10</v>
      </c>
      <c r="I462" s="64">
        <v>56</v>
      </c>
      <c r="J462" s="64">
        <f>H462*AO462</f>
        <v>0</v>
      </c>
      <c r="K462" s="64">
        <f>H462*AP462</f>
        <v>560</v>
      </c>
      <c r="L462" s="64">
        <f>H462*I462</f>
        <v>560</v>
      </c>
      <c r="M462" s="73"/>
      <c r="N462" s="19"/>
      <c r="Z462" s="35">
        <f>IF(AQ462="5",BJ462,0)</f>
        <v>0</v>
      </c>
      <c r="AB462" s="35">
        <f>IF(AQ462="1",BH462,0)</f>
        <v>0</v>
      </c>
      <c r="AC462" s="35">
        <f>IF(AQ462="1",BI462,0)</f>
        <v>560</v>
      </c>
      <c r="AD462" s="35">
        <f>IF(AQ462="7",BH462,0)</f>
        <v>0</v>
      </c>
      <c r="AE462" s="35">
        <f>IF(AQ462="7",BI462,0)</f>
        <v>0</v>
      </c>
      <c r="AF462" s="35">
        <f>IF(AQ462="2",BH462,0)</f>
        <v>0</v>
      </c>
      <c r="AG462" s="35">
        <f>IF(AQ462="2",BI462,0)</f>
        <v>0</v>
      </c>
      <c r="AH462" s="35">
        <f>IF(AQ462="0",BJ462,0)</f>
        <v>0</v>
      </c>
      <c r="AI462" s="77" t="s">
        <v>65</v>
      </c>
      <c r="AJ462" s="64">
        <f>IF(AN462=0,L462,0)</f>
        <v>0</v>
      </c>
      <c r="AK462" s="64">
        <f>IF(AN462=15,L462,0)</f>
        <v>0</v>
      </c>
      <c r="AL462" s="64">
        <f>IF(AN462=21,L462,0)</f>
        <v>560</v>
      </c>
      <c r="AN462" s="35">
        <v>21</v>
      </c>
      <c r="AO462" s="35">
        <f>I462*0</f>
        <v>0</v>
      </c>
      <c r="AP462" s="35">
        <f>I462*(1-0)</f>
        <v>56</v>
      </c>
      <c r="AQ462" s="78" t="s">
        <v>109</v>
      </c>
      <c r="AV462" s="35">
        <f>AW462+AX462</f>
        <v>560</v>
      </c>
      <c r="AW462" s="35">
        <f>H462*AO462</f>
        <v>0</v>
      </c>
      <c r="AX462" s="35">
        <f>H462*AP462</f>
        <v>560</v>
      </c>
      <c r="AY462" s="80" t="s">
        <v>1701</v>
      </c>
      <c r="AZ462" s="80" t="s">
        <v>1747</v>
      </c>
      <c r="BA462" s="77" t="s">
        <v>1778</v>
      </c>
      <c r="BC462" s="35">
        <f>AW462+AX462</f>
        <v>560</v>
      </c>
      <c r="BD462" s="35">
        <f>I462/(100-BE462)*100</f>
        <v>56.000000000000007</v>
      </c>
      <c r="BE462" s="35">
        <v>0</v>
      </c>
      <c r="BF462" s="35">
        <f>462</f>
        <v>462</v>
      </c>
      <c r="BH462" s="64">
        <f>H462*AO462</f>
        <v>0</v>
      </c>
      <c r="BI462" s="64">
        <f>H462*AP462</f>
        <v>560</v>
      </c>
      <c r="BJ462" s="64">
        <f>H462*I462</f>
        <v>560</v>
      </c>
      <c r="BK462" s="64" t="s">
        <v>1790</v>
      </c>
      <c r="BL462" s="35" t="s">
        <v>162</v>
      </c>
    </row>
    <row r="463" spans="1:64">
      <c r="A463" s="47" t="s">
        <v>488</v>
      </c>
      <c r="B463" s="55" t="s">
        <v>65</v>
      </c>
      <c r="C463" s="55" t="s">
        <v>973</v>
      </c>
      <c r="D463" s="165" t="s">
        <v>1443</v>
      </c>
      <c r="E463" s="166"/>
      <c r="F463" s="166"/>
      <c r="G463" s="55" t="s">
        <v>1638</v>
      </c>
      <c r="H463" s="64">
        <v>15</v>
      </c>
      <c r="I463" s="64">
        <v>89</v>
      </c>
      <c r="J463" s="64">
        <f>H463*AO463</f>
        <v>0</v>
      </c>
      <c r="K463" s="64">
        <f>H463*AP463</f>
        <v>1335</v>
      </c>
      <c r="L463" s="64">
        <f>H463*I463</f>
        <v>1335</v>
      </c>
      <c r="M463" s="73"/>
      <c r="N463" s="19"/>
      <c r="Z463" s="35">
        <f>IF(AQ463="5",BJ463,0)</f>
        <v>0</v>
      </c>
      <c r="AB463" s="35">
        <f>IF(AQ463="1",BH463,0)</f>
        <v>0</v>
      </c>
      <c r="AC463" s="35">
        <f>IF(AQ463="1",BI463,0)</f>
        <v>0</v>
      </c>
      <c r="AD463" s="35">
        <f>IF(AQ463="7",BH463,0)</f>
        <v>0</v>
      </c>
      <c r="AE463" s="35">
        <f>IF(AQ463="7",BI463,0)</f>
        <v>0</v>
      </c>
      <c r="AF463" s="35">
        <f>IF(AQ463="2",BH463,0)</f>
        <v>0</v>
      </c>
      <c r="AG463" s="35">
        <f>IF(AQ463="2",BI463,0)</f>
        <v>1335</v>
      </c>
      <c r="AH463" s="35">
        <f>IF(AQ463="0",BJ463,0)</f>
        <v>0</v>
      </c>
      <c r="AI463" s="77" t="s">
        <v>65</v>
      </c>
      <c r="AJ463" s="64">
        <f>IF(AN463=0,L463,0)</f>
        <v>0</v>
      </c>
      <c r="AK463" s="64">
        <f>IF(AN463=15,L463,0)</f>
        <v>0</v>
      </c>
      <c r="AL463" s="64">
        <f>IF(AN463=21,L463,0)</f>
        <v>1335</v>
      </c>
      <c r="AN463" s="35">
        <v>21</v>
      </c>
      <c r="AO463" s="35">
        <f>I463*0</f>
        <v>0</v>
      </c>
      <c r="AP463" s="35">
        <f>I463*(1-0)</f>
        <v>89</v>
      </c>
      <c r="AQ463" s="78" t="s">
        <v>110</v>
      </c>
      <c r="AV463" s="35">
        <f>AW463+AX463</f>
        <v>1335</v>
      </c>
      <c r="AW463" s="35">
        <f>H463*AO463</f>
        <v>0</v>
      </c>
      <c r="AX463" s="35">
        <f>H463*AP463</f>
        <v>1335</v>
      </c>
      <c r="AY463" s="80" t="s">
        <v>1701</v>
      </c>
      <c r="AZ463" s="80" t="s">
        <v>1747</v>
      </c>
      <c r="BA463" s="77" t="s">
        <v>1778</v>
      </c>
      <c r="BC463" s="35">
        <f>AW463+AX463</f>
        <v>1335</v>
      </c>
      <c r="BD463" s="35">
        <f>I463/(100-BE463)*100</f>
        <v>89</v>
      </c>
      <c r="BE463" s="35">
        <v>0</v>
      </c>
      <c r="BF463" s="35">
        <f>463</f>
        <v>463</v>
      </c>
      <c r="BH463" s="64">
        <f>H463*AO463</f>
        <v>0</v>
      </c>
      <c r="BI463" s="64">
        <f>H463*AP463</f>
        <v>1335</v>
      </c>
      <c r="BJ463" s="64">
        <f>H463*I463</f>
        <v>1335</v>
      </c>
      <c r="BK463" s="64" t="s">
        <v>1790</v>
      </c>
      <c r="BL463" s="35" t="s">
        <v>162</v>
      </c>
    </row>
    <row r="464" spans="1:64">
      <c r="A464" s="49"/>
      <c r="B464" s="57" t="s">
        <v>66</v>
      </c>
      <c r="C464" s="57"/>
      <c r="D464" s="172" t="s">
        <v>82</v>
      </c>
      <c r="E464" s="173"/>
      <c r="F464" s="173"/>
      <c r="G464" s="62" t="s">
        <v>57</v>
      </c>
      <c r="H464" s="62" t="s">
        <v>57</v>
      </c>
      <c r="I464" s="62" t="s">
        <v>57</v>
      </c>
      <c r="J464" s="84">
        <f>J465+J491</f>
        <v>308988.90000000002</v>
      </c>
      <c r="K464" s="84">
        <f>K465+K491</f>
        <v>185146</v>
      </c>
      <c r="L464" s="84">
        <f>L465+L491</f>
        <v>494134.9</v>
      </c>
      <c r="M464" s="75"/>
      <c r="N464" s="19"/>
    </row>
    <row r="465" spans="1:64">
      <c r="A465" s="46"/>
      <c r="B465" s="54" t="s">
        <v>66</v>
      </c>
      <c r="C465" s="54" t="s">
        <v>161</v>
      </c>
      <c r="D465" s="163" t="s">
        <v>211</v>
      </c>
      <c r="E465" s="164"/>
      <c r="F465" s="164"/>
      <c r="G465" s="61" t="s">
        <v>57</v>
      </c>
      <c r="H465" s="61" t="s">
        <v>57</v>
      </c>
      <c r="I465" s="61" t="s">
        <v>57</v>
      </c>
      <c r="J465" s="83">
        <f>SUM(J466:J490)</f>
        <v>308988.90000000002</v>
      </c>
      <c r="K465" s="83">
        <f>SUM(K466:K490)</f>
        <v>181514</v>
      </c>
      <c r="L465" s="83">
        <f>SUM(L466:L490)</f>
        <v>490502.9</v>
      </c>
      <c r="M465" s="72"/>
      <c r="N465" s="19"/>
      <c r="AI465" s="77" t="s">
        <v>66</v>
      </c>
      <c r="AS465" s="83">
        <f>SUM(AJ466:AJ490)</f>
        <v>0</v>
      </c>
      <c r="AT465" s="83">
        <f>SUM(AK466:AK490)</f>
        <v>0</v>
      </c>
      <c r="AU465" s="83">
        <f>SUM(AL466:AL490)</f>
        <v>490502.9</v>
      </c>
    </row>
    <row r="466" spans="1:64">
      <c r="A466" s="47" t="s">
        <v>489</v>
      </c>
      <c r="B466" s="55" t="s">
        <v>66</v>
      </c>
      <c r="C466" s="55" t="s">
        <v>974</v>
      </c>
      <c r="D466" s="165" t="s">
        <v>1444</v>
      </c>
      <c r="E466" s="166"/>
      <c r="F466" s="166"/>
      <c r="G466" s="55" t="s">
        <v>1633</v>
      </c>
      <c r="H466" s="64">
        <v>440</v>
      </c>
      <c r="I466" s="64">
        <v>42.3</v>
      </c>
      <c r="J466" s="64">
        <f t="shared" ref="J466:J490" si="280">H466*AO466</f>
        <v>0</v>
      </c>
      <c r="K466" s="64">
        <f t="shared" ref="K466:K490" si="281">H466*AP466</f>
        <v>18612</v>
      </c>
      <c r="L466" s="64">
        <f t="shared" ref="L466:L490" si="282">H466*I466</f>
        <v>18612</v>
      </c>
      <c r="M466" s="73"/>
      <c r="N466" s="19"/>
      <c r="Z466" s="35">
        <f t="shared" ref="Z466:Z490" si="283">IF(AQ466="5",BJ466,0)</f>
        <v>0</v>
      </c>
      <c r="AB466" s="35">
        <f t="shared" ref="AB466:AB490" si="284">IF(AQ466="1",BH466,0)</f>
        <v>0</v>
      </c>
      <c r="AC466" s="35">
        <f t="shared" ref="AC466:AC490" si="285">IF(AQ466="1",BI466,0)</f>
        <v>0</v>
      </c>
      <c r="AD466" s="35">
        <f t="shared" ref="AD466:AD490" si="286">IF(AQ466="7",BH466,0)</f>
        <v>0</v>
      </c>
      <c r="AE466" s="35">
        <f t="shared" ref="AE466:AE490" si="287">IF(AQ466="7",BI466,0)</f>
        <v>0</v>
      </c>
      <c r="AF466" s="35">
        <f t="shared" ref="AF466:AF490" si="288">IF(AQ466="2",BH466,0)</f>
        <v>0</v>
      </c>
      <c r="AG466" s="35">
        <f t="shared" ref="AG466:AG490" si="289">IF(AQ466="2",BI466,0)</f>
        <v>18612</v>
      </c>
      <c r="AH466" s="35">
        <f t="shared" ref="AH466:AH490" si="290">IF(AQ466="0",BJ466,0)</f>
        <v>0</v>
      </c>
      <c r="AI466" s="77" t="s">
        <v>66</v>
      </c>
      <c r="AJ466" s="64">
        <f t="shared" ref="AJ466:AJ490" si="291">IF(AN466=0,L466,0)</f>
        <v>0</v>
      </c>
      <c r="AK466" s="64">
        <f t="shared" ref="AK466:AK490" si="292">IF(AN466=15,L466,0)</f>
        <v>0</v>
      </c>
      <c r="AL466" s="64">
        <f t="shared" ref="AL466:AL490" si="293">IF(AN466=21,L466,0)</f>
        <v>18612</v>
      </c>
      <c r="AN466" s="35">
        <v>21</v>
      </c>
      <c r="AO466" s="35">
        <f t="shared" ref="AO466:AO477" si="294">I466*0</f>
        <v>0</v>
      </c>
      <c r="AP466" s="35">
        <f t="shared" ref="AP466:AP477" si="295">I466*(1-0)</f>
        <v>42.3</v>
      </c>
      <c r="AQ466" s="78" t="s">
        <v>110</v>
      </c>
      <c r="AV466" s="35">
        <f t="shared" ref="AV466:AV490" si="296">AW466+AX466</f>
        <v>18612</v>
      </c>
      <c r="AW466" s="35">
        <f t="shared" ref="AW466:AW490" si="297">H466*AO466</f>
        <v>0</v>
      </c>
      <c r="AX466" s="35">
        <f t="shared" ref="AX466:AX490" si="298">H466*AP466</f>
        <v>18612</v>
      </c>
      <c r="AY466" s="80" t="s">
        <v>1700</v>
      </c>
      <c r="AZ466" s="80" t="s">
        <v>1748</v>
      </c>
      <c r="BA466" s="77" t="s">
        <v>1779</v>
      </c>
      <c r="BC466" s="35">
        <f t="shared" ref="BC466:BC490" si="299">AW466+AX466</f>
        <v>18612</v>
      </c>
      <c r="BD466" s="35">
        <f t="shared" ref="BD466:BD490" si="300">I466/(100-BE466)*100</f>
        <v>42.3</v>
      </c>
      <c r="BE466" s="35">
        <v>0</v>
      </c>
      <c r="BF466" s="35">
        <f>466</f>
        <v>466</v>
      </c>
      <c r="BH466" s="64">
        <f t="shared" ref="BH466:BH490" si="301">H466*AO466</f>
        <v>0</v>
      </c>
      <c r="BI466" s="64">
        <f t="shared" ref="BI466:BI490" si="302">H466*AP466</f>
        <v>18612</v>
      </c>
      <c r="BJ466" s="64">
        <f t="shared" ref="BJ466:BJ490" si="303">H466*I466</f>
        <v>18612</v>
      </c>
      <c r="BK466" s="64" t="s">
        <v>1790</v>
      </c>
      <c r="BL466" s="35" t="s">
        <v>161</v>
      </c>
    </row>
    <row r="467" spans="1:64">
      <c r="A467" s="47" t="s">
        <v>490</v>
      </c>
      <c r="B467" s="55" t="s">
        <v>66</v>
      </c>
      <c r="C467" s="55" t="s">
        <v>975</v>
      </c>
      <c r="D467" s="165" t="s">
        <v>1445</v>
      </c>
      <c r="E467" s="166"/>
      <c r="F467" s="166"/>
      <c r="G467" s="55" t="s">
        <v>1631</v>
      </c>
      <c r="H467" s="64">
        <v>40</v>
      </c>
      <c r="I467" s="64">
        <v>85.3</v>
      </c>
      <c r="J467" s="64">
        <f t="shared" si="280"/>
        <v>0</v>
      </c>
      <c r="K467" s="64">
        <f t="shared" si="281"/>
        <v>3412</v>
      </c>
      <c r="L467" s="64">
        <f t="shared" si="282"/>
        <v>3412</v>
      </c>
      <c r="M467" s="73"/>
      <c r="N467" s="19"/>
      <c r="Z467" s="35">
        <f t="shared" si="283"/>
        <v>0</v>
      </c>
      <c r="AB467" s="35">
        <f t="shared" si="284"/>
        <v>0</v>
      </c>
      <c r="AC467" s="35">
        <f t="shared" si="285"/>
        <v>0</v>
      </c>
      <c r="AD467" s="35">
        <f t="shared" si="286"/>
        <v>0</v>
      </c>
      <c r="AE467" s="35">
        <f t="shared" si="287"/>
        <v>0</v>
      </c>
      <c r="AF467" s="35">
        <f t="shared" si="288"/>
        <v>0</v>
      </c>
      <c r="AG467" s="35">
        <f t="shared" si="289"/>
        <v>3412</v>
      </c>
      <c r="AH467" s="35">
        <f t="shared" si="290"/>
        <v>0</v>
      </c>
      <c r="AI467" s="77" t="s">
        <v>66</v>
      </c>
      <c r="AJ467" s="64">
        <f t="shared" si="291"/>
        <v>0</v>
      </c>
      <c r="AK467" s="64">
        <f t="shared" si="292"/>
        <v>0</v>
      </c>
      <c r="AL467" s="64">
        <f t="shared" si="293"/>
        <v>3412</v>
      </c>
      <c r="AN467" s="35">
        <v>21</v>
      </c>
      <c r="AO467" s="35">
        <f t="shared" si="294"/>
        <v>0</v>
      </c>
      <c r="AP467" s="35">
        <f t="shared" si="295"/>
        <v>85.3</v>
      </c>
      <c r="AQ467" s="78" t="s">
        <v>110</v>
      </c>
      <c r="AV467" s="35">
        <f t="shared" si="296"/>
        <v>3412</v>
      </c>
      <c r="AW467" s="35">
        <f t="shared" si="297"/>
        <v>0</v>
      </c>
      <c r="AX467" s="35">
        <f t="shared" si="298"/>
        <v>3412</v>
      </c>
      <c r="AY467" s="80" t="s">
        <v>1700</v>
      </c>
      <c r="AZ467" s="80" t="s">
        <v>1748</v>
      </c>
      <c r="BA467" s="77" t="s">
        <v>1779</v>
      </c>
      <c r="BC467" s="35">
        <f t="shared" si="299"/>
        <v>3412</v>
      </c>
      <c r="BD467" s="35">
        <f t="shared" si="300"/>
        <v>85.3</v>
      </c>
      <c r="BE467" s="35">
        <v>0</v>
      </c>
      <c r="BF467" s="35">
        <f>467</f>
        <v>467</v>
      </c>
      <c r="BH467" s="64">
        <f t="shared" si="301"/>
        <v>0</v>
      </c>
      <c r="BI467" s="64">
        <f t="shared" si="302"/>
        <v>3412</v>
      </c>
      <c r="BJ467" s="64">
        <f t="shared" si="303"/>
        <v>3412</v>
      </c>
      <c r="BK467" s="64" t="s">
        <v>1790</v>
      </c>
      <c r="BL467" s="35" t="s">
        <v>161</v>
      </c>
    </row>
    <row r="468" spans="1:64">
      <c r="A468" s="47" t="s">
        <v>491</v>
      </c>
      <c r="B468" s="55" t="s">
        <v>66</v>
      </c>
      <c r="C468" s="55" t="s">
        <v>976</v>
      </c>
      <c r="D468" s="165" t="s">
        <v>1446</v>
      </c>
      <c r="E468" s="166"/>
      <c r="F468" s="166"/>
      <c r="G468" s="55" t="s">
        <v>1633</v>
      </c>
      <c r="H468" s="64">
        <v>1070</v>
      </c>
      <c r="I468" s="64">
        <v>22</v>
      </c>
      <c r="J468" s="64">
        <f t="shared" si="280"/>
        <v>0</v>
      </c>
      <c r="K468" s="64">
        <f t="shared" si="281"/>
        <v>23540</v>
      </c>
      <c r="L468" s="64">
        <f t="shared" si="282"/>
        <v>23540</v>
      </c>
      <c r="M468" s="73"/>
      <c r="N468" s="19"/>
      <c r="Z468" s="35">
        <f t="shared" si="283"/>
        <v>0</v>
      </c>
      <c r="AB468" s="35">
        <f t="shared" si="284"/>
        <v>0</v>
      </c>
      <c r="AC468" s="35">
        <f t="shared" si="285"/>
        <v>0</v>
      </c>
      <c r="AD468" s="35">
        <f t="shared" si="286"/>
        <v>0</v>
      </c>
      <c r="AE468" s="35">
        <f t="shared" si="287"/>
        <v>0</v>
      </c>
      <c r="AF468" s="35">
        <f t="shared" si="288"/>
        <v>0</v>
      </c>
      <c r="AG468" s="35">
        <f t="shared" si="289"/>
        <v>23540</v>
      </c>
      <c r="AH468" s="35">
        <f t="shared" si="290"/>
        <v>0</v>
      </c>
      <c r="AI468" s="77" t="s">
        <v>66</v>
      </c>
      <c r="AJ468" s="64">
        <f t="shared" si="291"/>
        <v>0</v>
      </c>
      <c r="AK468" s="64">
        <f t="shared" si="292"/>
        <v>0</v>
      </c>
      <c r="AL468" s="64">
        <f t="shared" si="293"/>
        <v>23540</v>
      </c>
      <c r="AN468" s="35">
        <v>21</v>
      </c>
      <c r="AO468" s="35">
        <f t="shared" si="294"/>
        <v>0</v>
      </c>
      <c r="AP468" s="35">
        <f t="shared" si="295"/>
        <v>22</v>
      </c>
      <c r="AQ468" s="78" t="s">
        <v>110</v>
      </c>
      <c r="AV468" s="35">
        <f t="shared" si="296"/>
        <v>23540</v>
      </c>
      <c r="AW468" s="35">
        <f t="shared" si="297"/>
        <v>0</v>
      </c>
      <c r="AX468" s="35">
        <f t="shared" si="298"/>
        <v>23540</v>
      </c>
      <c r="AY468" s="80" t="s">
        <v>1700</v>
      </c>
      <c r="AZ468" s="80" t="s">
        <v>1748</v>
      </c>
      <c r="BA468" s="77" t="s">
        <v>1779</v>
      </c>
      <c r="BC468" s="35">
        <f t="shared" si="299"/>
        <v>23540</v>
      </c>
      <c r="BD468" s="35">
        <f t="shared" si="300"/>
        <v>22</v>
      </c>
      <c r="BE468" s="35">
        <v>0</v>
      </c>
      <c r="BF468" s="35">
        <f>468</f>
        <v>468</v>
      </c>
      <c r="BH468" s="64">
        <f t="shared" si="301"/>
        <v>0</v>
      </c>
      <c r="BI468" s="64">
        <f t="shared" si="302"/>
        <v>23540</v>
      </c>
      <c r="BJ468" s="64">
        <f t="shared" si="303"/>
        <v>23540</v>
      </c>
      <c r="BK468" s="64" t="s">
        <v>1790</v>
      </c>
      <c r="BL468" s="35" t="s">
        <v>161</v>
      </c>
    </row>
    <row r="469" spans="1:64">
      <c r="A469" s="47" t="s">
        <v>492</v>
      </c>
      <c r="B469" s="55" t="s">
        <v>66</v>
      </c>
      <c r="C469" s="55" t="s">
        <v>977</v>
      </c>
      <c r="D469" s="165" t="s">
        <v>1447</v>
      </c>
      <c r="E469" s="166"/>
      <c r="F469" s="166"/>
      <c r="G469" s="55" t="s">
        <v>1631</v>
      </c>
      <c r="H469" s="64">
        <v>129</v>
      </c>
      <c r="I469" s="64">
        <v>305</v>
      </c>
      <c r="J469" s="64">
        <f t="shared" si="280"/>
        <v>0</v>
      </c>
      <c r="K469" s="64">
        <f t="shared" si="281"/>
        <v>39345</v>
      </c>
      <c r="L469" s="64">
        <f t="shared" si="282"/>
        <v>39345</v>
      </c>
      <c r="M469" s="73"/>
      <c r="N469" s="19"/>
      <c r="Z469" s="35">
        <f t="shared" si="283"/>
        <v>0</v>
      </c>
      <c r="AB469" s="35">
        <f t="shared" si="284"/>
        <v>0</v>
      </c>
      <c r="AC469" s="35">
        <f t="shared" si="285"/>
        <v>0</v>
      </c>
      <c r="AD469" s="35">
        <f t="shared" si="286"/>
        <v>0</v>
      </c>
      <c r="AE469" s="35">
        <f t="shared" si="287"/>
        <v>0</v>
      </c>
      <c r="AF469" s="35">
        <f t="shared" si="288"/>
        <v>0</v>
      </c>
      <c r="AG469" s="35">
        <f t="shared" si="289"/>
        <v>39345</v>
      </c>
      <c r="AH469" s="35">
        <f t="shared" si="290"/>
        <v>0</v>
      </c>
      <c r="AI469" s="77" t="s">
        <v>66</v>
      </c>
      <c r="AJ469" s="64">
        <f t="shared" si="291"/>
        <v>0</v>
      </c>
      <c r="AK469" s="64">
        <f t="shared" si="292"/>
        <v>0</v>
      </c>
      <c r="AL469" s="64">
        <f t="shared" si="293"/>
        <v>39345</v>
      </c>
      <c r="AN469" s="35">
        <v>21</v>
      </c>
      <c r="AO469" s="35">
        <f t="shared" si="294"/>
        <v>0</v>
      </c>
      <c r="AP469" s="35">
        <f t="shared" si="295"/>
        <v>305</v>
      </c>
      <c r="AQ469" s="78" t="s">
        <v>110</v>
      </c>
      <c r="AV469" s="35">
        <f t="shared" si="296"/>
        <v>39345</v>
      </c>
      <c r="AW469" s="35">
        <f t="shared" si="297"/>
        <v>0</v>
      </c>
      <c r="AX469" s="35">
        <f t="shared" si="298"/>
        <v>39345</v>
      </c>
      <c r="AY469" s="80" t="s">
        <v>1700</v>
      </c>
      <c r="AZ469" s="80" t="s">
        <v>1748</v>
      </c>
      <c r="BA469" s="77" t="s">
        <v>1779</v>
      </c>
      <c r="BC469" s="35">
        <f t="shared" si="299"/>
        <v>39345</v>
      </c>
      <c r="BD469" s="35">
        <f t="shared" si="300"/>
        <v>305</v>
      </c>
      <c r="BE469" s="35">
        <v>0</v>
      </c>
      <c r="BF469" s="35">
        <f>469</f>
        <v>469</v>
      </c>
      <c r="BH469" s="64">
        <f t="shared" si="301"/>
        <v>0</v>
      </c>
      <c r="BI469" s="64">
        <f t="shared" si="302"/>
        <v>39345</v>
      </c>
      <c r="BJ469" s="64">
        <f t="shared" si="303"/>
        <v>39345</v>
      </c>
      <c r="BK469" s="64" t="s">
        <v>1790</v>
      </c>
      <c r="BL469" s="35" t="s">
        <v>161</v>
      </c>
    </row>
    <row r="470" spans="1:64">
      <c r="A470" s="47" t="s">
        <v>493</v>
      </c>
      <c r="B470" s="55" t="s">
        <v>66</v>
      </c>
      <c r="C470" s="55" t="s">
        <v>978</v>
      </c>
      <c r="D470" s="165" t="s">
        <v>1448</v>
      </c>
      <c r="E470" s="166"/>
      <c r="F470" s="166"/>
      <c r="G470" s="55" t="s">
        <v>1631</v>
      </c>
      <c r="H470" s="64">
        <v>40</v>
      </c>
      <c r="I470" s="64">
        <v>305</v>
      </c>
      <c r="J470" s="64">
        <f t="shared" si="280"/>
        <v>0</v>
      </c>
      <c r="K470" s="64">
        <f t="shared" si="281"/>
        <v>12200</v>
      </c>
      <c r="L470" s="64">
        <f t="shared" si="282"/>
        <v>12200</v>
      </c>
      <c r="M470" s="73"/>
      <c r="N470" s="19"/>
      <c r="Z470" s="35">
        <f t="shared" si="283"/>
        <v>0</v>
      </c>
      <c r="AB470" s="35">
        <f t="shared" si="284"/>
        <v>0</v>
      </c>
      <c r="AC470" s="35">
        <f t="shared" si="285"/>
        <v>0</v>
      </c>
      <c r="AD470" s="35">
        <f t="shared" si="286"/>
        <v>0</v>
      </c>
      <c r="AE470" s="35">
        <f t="shared" si="287"/>
        <v>0</v>
      </c>
      <c r="AF470" s="35">
        <f t="shared" si="288"/>
        <v>0</v>
      </c>
      <c r="AG470" s="35">
        <f t="shared" si="289"/>
        <v>12200</v>
      </c>
      <c r="AH470" s="35">
        <f t="shared" si="290"/>
        <v>0</v>
      </c>
      <c r="AI470" s="77" t="s">
        <v>66</v>
      </c>
      <c r="AJ470" s="64">
        <f t="shared" si="291"/>
        <v>0</v>
      </c>
      <c r="AK470" s="64">
        <f t="shared" si="292"/>
        <v>0</v>
      </c>
      <c r="AL470" s="64">
        <f t="shared" si="293"/>
        <v>12200</v>
      </c>
      <c r="AN470" s="35">
        <v>21</v>
      </c>
      <c r="AO470" s="35">
        <f t="shared" si="294"/>
        <v>0</v>
      </c>
      <c r="AP470" s="35">
        <f t="shared" si="295"/>
        <v>305</v>
      </c>
      <c r="AQ470" s="78" t="s">
        <v>110</v>
      </c>
      <c r="AV470" s="35">
        <f t="shared" si="296"/>
        <v>12200</v>
      </c>
      <c r="AW470" s="35">
        <f t="shared" si="297"/>
        <v>0</v>
      </c>
      <c r="AX470" s="35">
        <f t="shared" si="298"/>
        <v>12200</v>
      </c>
      <c r="AY470" s="80" t="s">
        <v>1700</v>
      </c>
      <c r="AZ470" s="80" t="s">
        <v>1748</v>
      </c>
      <c r="BA470" s="77" t="s">
        <v>1779</v>
      </c>
      <c r="BC470" s="35">
        <f t="shared" si="299"/>
        <v>12200</v>
      </c>
      <c r="BD470" s="35">
        <f t="shared" si="300"/>
        <v>305</v>
      </c>
      <c r="BE470" s="35">
        <v>0</v>
      </c>
      <c r="BF470" s="35">
        <f>470</f>
        <v>470</v>
      </c>
      <c r="BH470" s="64">
        <f t="shared" si="301"/>
        <v>0</v>
      </c>
      <c r="BI470" s="64">
        <f t="shared" si="302"/>
        <v>12200</v>
      </c>
      <c r="BJ470" s="64">
        <f t="shared" si="303"/>
        <v>12200</v>
      </c>
      <c r="BK470" s="64" t="s">
        <v>1790</v>
      </c>
      <c r="BL470" s="35" t="s">
        <v>161</v>
      </c>
    </row>
    <row r="471" spans="1:64">
      <c r="A471" s="47" t="s">
        <v>494</v>
      </c>
      <c r="B471" s="55" t="s">
        <v>66</v>
      </c>
      <c r="C471" s="55" t="s">
        <v>963</v>
      </c>
      <c r="D471" s="165" t="s">
        <v>1449</v>
      </c>
      <c r="E471" s="166"/>
      <c r="F471" s="166"/>
      <c r="G471" s="55" t="s">
        <v>1636</v>
      </c>
      <c r="H471" s="64">
        <v>121</v>
      </c>
      <c r="I471" s="64">
        <v>250</v>
      </c>
      <c r="J471" s="64">
        <f t="shared" si="280"/>
        <v>0</v>
      </c>
      <c r="K471" s="64">
        <f t="shared" si="281"/>
        <v>30250</v>
      </c>
      <c r="L471" s="64">
        <f t="shared" si="282"/>
        <v>30250</v>
      </c>
      <c r="M471" s="73"/>
      <c r="N471" s="19"/>
      <c r="Z471" s="35">
        <f t="shared" si="283"/>
        <v>0</v>
      </c>
      <c r="AB471" s="35">
        <f t="shared" si="284"/>
        <v>0</v>
      </c>
      <c r="AC471" s="35">
        <f t="shared" si="285"/>
        <v>30250</v>
      </c>
      <c r="AD471" s="35">
        <f t="shared" si="286"/>
        <v>0</v>
      </c>
      <c r="AE471" s="35">
        <f t="shared" si="287"/>
        <v>0</v>
      </c>
      <c r="AF471" s="35">
        <f t="shared" si="288"/>
        <v>0</v>
      </c>
      <c r="AG471" s="35">
        <f t="shared" si="289"/>
        <v>0</v>
      </c>
      <c r="AH471" s="35">
        <f t="shared" si="290"/>
        <v>0</v>
      </c>
      <c r="AI471" s="77" t="s">
        <v>66</v>
      </c>
      <c r="AJ471" s="64">
        <f t="shared" si="291"/>
        <v>0</v>
      </c>
      <c r="AK471" s="64">
        <f t="shared" si="292"/>
        <v>0</v>
      </c>
      <c r="AL471" s="64">
        <f t="shared" si="293"/>
        <v>30250</v>
      </c>
      <c r="AN471" s="35">
        <v>21</v>
      </c>
      <c r="AO471" s="35">
        <f t="shared" si="294"/>
        <v>0</v>
      </c>
      <c r="AP471" s="35">
        <f t="shared" si="295"/>
        <v>250</v>
      </c>
      <c r="AQ471" s="78" t="s">
        <v>109</v>
      </c>
      <c r="AV471" s="35">
        <f t="shared" si="296"/>
        <v>30250</v>
      </c>
      <c r="AW471" s="35">
        <f t="shared" si="297"/>
        <v>0</v>
      </c>
      <c r="AX471" s="35">
        <f t="shared" si="298"/>
        <v>30250</v>
      </c>
      <c r="AY471" s="80" t="s">
        <v>1700</v>
      </c>
      <c r="AZ471" s="80" t="s">
        <v>1748</v>
      </c>
      <c r="BA471" s="77" t="s">
        <v>1779</v>
      </c>
      <c r="BC471" s="35">
        <f t="shared" si="299"/>
        <v>30250</v>
      </c>
      <c r="BD471" s="35">
        <f t="shared" si="300"/>
        <v>250</v>
      </c>
      <c r="BE471" s="35">
        <v>0</v>
      </c>
      <c r="BF471" s="35">
        <f>471</f>
        <v>471</v>
      </c>
      <c r="BH471" s="64">
        <f t="shared" si="301"/>
        <v>0</v>
      </c>
      <c r="BI471" s="64">
        <f t="shared" si="302"/>
        <v>30250</v>
      </c>
      <c r="BJ471" s="64">
        <f t="shared" si="303"/>
        <v>30250</v>
      </c>
      <c r="BK471" s="64" t="s">
        <v>1790</v>
      </c>
      <c r="BL471" s="35" t="s">
        <v>161</v>
      </c>
    </row>
    <row r="472" spans="1:64">
      <c r="A472" s="47" t="s">
        <v>495</v>
      </c>
      <c r="B472" s="55" t="s">
        <v>66</v>
      </c>
      <c r="C472" s="55" t="s">
        <v>963</v>
      </c>
      <c r="D472" s="165" t="s">
        <v>1450</v>
      </c>
      <c r="E472" s="166"/>
      <c r="F472" s="166"/>
      <c r="G472" s="55" t="s">
        <v>1631</v>
      </c>
      <c r="H472" s="64">
        <v>7</v>
      </c>
      <c r="I472" s="64">
        <v>285</v>
      </c>
      <c r="J472" s="64">
        <f t="shared" si="280"/>
        <v>0</v>
      </c>
      <c r="K472" s="64">
        <f t="shared" si="281"/>
        <v>1995</v>
      </c>
      <c r="L472" s="64">
        <f t="shared" si="282"/>
        <v>1995</v>
      </c>
      <c r="M472" s="73"/>
      <c r="N472" s="19"/>
      <c r="Z472" s="35">
        <f t="shared" si="283"/>
        <v>0</v>
      </c>
      <c r="AB472" s="35">
        <f t="shared" si="284"/>
        <v>0</v>
      </c>
      <c r="AC472" s="35">
        <f t="shared" si="285"/>
        <v>1995</v>
      </c>
      <c r="AD472" s="35">
        <f t="shared" si="286"/>
        <v>0</v>
      </c>
      <c r="AE472" s="35">
        <f t="shared" si="287"/>
        <v>0</v>
      </c>
      <c r="AF472" s="35">
        <f t="shared" si="288"/>
        <v>0</v>
      </c>
      <c r="AG472" s="35">
        <f t="shared" si="289"/>
        <v>0</v>
      </c>
      <c r="AH472" s="35">
        <f t="shared" si="290"/>
        <v>0</v>
      </c>
      <c r="AI472" s="77" t="s">
        <v>66</v>
      </c>
      <c r="AJ472" s="64">
        <f t="shared" si="291"/>
        <v>0</v>
      </c>
      <c r="AK472" s="64">
        <f t="shared" si="292"/>
        <v>0</v>
      </c>
      <c r="AL472" s="64">
        <f t="shared" si="293"/>
        <v>1995</v>
      </c>
      <c r="AN472" s="35">
        <v>21</v>
      </c>
      <c r="AO472" s="35">
        <f t="shared" si="294"/>
        <v>0</v>
      </c>
      <c r="AP472" s="35">
        <f t="shared" si="295"/>
        <v>285</v>
      </c>
      <c r="AQ472" s="78" t="s">
        <v>109</v>
      </c>
      <c r="AV472" s="35">
        <f t="shared" si="296"/>
        <v>1995</v>
      </c>
      <c r="AW472" s="35">
        <f t="shared" si="297"/>
        <v>0</v>
      </c>
      <c r="AX472" s="35">
        <f t="shared" si="298"/>
        <v>1995</v>
      </c>
      <c r="AY472" s="80" t="s">
        <v>1700</v>
      </c>
      <c r="AZ472" s="80" t="s">
        <v>1748</v>
      </c>
      <c r="BA472" s="77" t="s">
        <v>1779</v>
      </c>
      <c r="BC472" s="35">
        <f t="shared" si="299"/>
        <v>1995</v>
      </c>
      <c r="BD472" s="35">
        <f t="shared" si="300"/>
        <v>285</v>
      </c>
      <c r="BE472" s="35">
        <v>0</v>
      </c>
      <c r="BF472" s="35">
        <f>472</f>
        <v>472</v>
      </c>
      <c r="BH472" s="64">
        <f t="shared" si="301"/>
        <v>0</v>
      </c>
      <c r="BI472" s="64">
        <f t="shared" si="302"/>
        <v>1995</v>
      </c>
      <c r="BJ472" s="64">
        <f t="shared" si="303"/>
        <v>1995</v>
      </c>
      <c r="BK472" s="64" t="s">
        <v>1790</v>
      </c>
      <c r="BL472" s="35" t="s">
        <v>161</v>
      </c>
    </row>
    <row r="473" spans="1:64">
      <c r="A473" s="47" t="s">
        <v>496</v>
      </c>
      <c r="B473" s="55" t="s">
        <v>66</v>
      </c>
      <c r="C473" s="55" t="s">
        <v>963</v>
      </c>
      <c r="D473" s="165" t="s">
        <v>1451</v>
      </c>
      <c r="E473" s="166"/>
      <c r="F473" s="166"/>
      <c r="G473" s="55" t="s">
        <v>1647</v>
      </c>
      <c r="H473" s="64">
        <v>120</v>
      </c>
      <c r="I473" s="64">
        <v>320</v>
      </c>
      <c r="J473" s="64">
        <f t="shared" si="280"/>
        <v>0</v>
      </c>
      <c r="K473" s="64">
        <f t="shared" si="281"/>
        <v>38400</v>
      </c>
      <c r="L473" s="64">
        <f t="shared" si="282"/>
        <v>38400</v>
      </c>
      <c r="M473" s="73"/>
      <c r="N473" s="19"/>
      <c r="Z473" s="35">
        <f t="shared" si="283"/>
        <v>0</v>
      </c>
      <c r="AB473" s="35">
        <f t="shared" si="284"/>
        <v>0</v>
      </c>
      <c r="AC473" s="35">
        <f t="shared" si="285"/>
        <v>38400</v>
      </c>
      <c r="AD473" s="35">
        <f t="shared" si="286"/>
        <v>0</v>
      </c>
      <c r="AE473" s="35">
        <f t="shared" si="287"/>
        <v>0</v>
      </c>
      <c r="AF473" s="35">
        <f t="shared" si="288"/>
        <v>0</v>
      </c>
      <c r="AG473" s="35">
        <f t="shared" si="289"/>
        <v>0</v>
      </c>
      <c r="AH473" s="35">
        <f t="shared" si="290"/>
        <v>0</v>
      </c>
      <c r="AI473" s="77" t="s">
        <v>66</v>
      </c>
      <c r="AJ473" s="64">
        <f t="shared" si="291"/>
        <v>0</v>
      </c>
      <c r="AK473" s="64">
        <f t="shared" si="292"/>
        <v>0</v>
      </c>
      <c r="AL473" s="64">
        <f t="shared" si="293"/>
        <v>38400</v>
      </c>
      <c r="AN473" s="35">
        <v>21</v>
      </c>
      <c r="AO473" s="35">
        <f t="shared" si="294"/>
        <v>0</v>
      </c>
      <c r="AP473" s="35">
        <f t="shared" si="295"/>
        <v>320</v>
      </c>
      <c r="AQ473" s="78" t="s">
        <v>109</v>
      </c>
      <c r="AV473" s="35">
        <f t="shared" si="296"/>
        <v>38400</v>
      </c>
      <c r="AW473" s="35">
        <f t="shared" si="297"/>
        <v>0</v>
      </c>
      <c r="AX473" s="35">
        <f t="shared" si="298"/>
        <v>38400</v>
      </c>
      <c r="AY473" s="80" t="s">
        <v>1700</v>
      </c>
      <c r="AZ473" s="80" t="s">
        <v>1748</v>
      </c>
      <c r="BA473" s="77" t="s">
        <v>1779</v>
      </c>
      <c r="BC473" s="35">
        <f t="shared" si="299"/>
        <v>38400</v>
      </c>
      <c r="BD473" s="35">
        <f t="shared" si="300"/>
        <v>320</v>
      </c>
      <c r="BE473" s="35">
        <v>0</v>
      </c>
      <c r="BF473" s="35">
        <f>473</f>
        <v>473</v>
      </c>
      <c r="BH473" s="64">
        <f t="shared" si="301"/>
        <v>0</v>
      </c>
      <c r="BI473" s="64">
        <f t="shared" si="302"/>
        <v>38400</v>
      </c>
      <c r="BJ473" s="64">
        <f t="shared" si="303"/>
        <v>38400</v>
      </c>
      <c r="BK473" s="64" t="s">
        <v>1790</v>
      </c>
      <c r="BL473" s="35" t="s">
        <v>161</v>
      </c>
    </row>
    <row r="474" spans="1:64">
      <c r="A474" s="47" t="s">
        <v>497</v>
      </c>
      <c r="B474" s="55" t="s">
        <v>66</v>
      </c>
      <c r="C474" s="55" t="s">
        <v>963</v>
      </c>
      <c r="D474" s="165" t="s">
        <v>1452</v>
      </c>
      <c r="E474" s="166"/>
      <c r="F474" s="166"/>
      <c r="G474" s="55" t="s">
        <v>1647</v>
      </c>
      <c r="H474" s="64">
        <v>8</v>
      </c>
      <c r="I474" s="64">
        <v>350</v>
      </c>
      <c r="J474" s="64">
        <f t="shared" si="280"/>
        <v>0</v>
      </c>
      <c r="K474" s="64">
        <f t="shared" si="281"/>
        <v>2800</v>
      </c>
      <c r="L474" s="64">
        <f t="shared" si="282"/>
        <v>2800</v>
      </c>
      <c r="M474" s="73"/>
      <c r="N474" s="19"/>
      <c r="Z474" s="35">
        <f t="shared" si="283"/>
        <v>0</v>
      </c>
      <c r="AB474" s="35">
        <f t="shared" si="284"/>
        <v>0</v>
      </c>
      <c r="AC474" s="35">
        <f t="shared" si="285"/>
        <v>2800</v>
      </c>
      <c r="AD474" s="35">
        <f t="shared" si="286"/>
        <v>0</v>
      </c>
      <c r="AE474" s="35">
        <f t="shared" si="287"/>
        <v>0</v>
      </c>
      <c r="AF474" s="35">
        <f t="shared" si="288"/>
        <v>0</v>
      </c>
      <c r="AG474" s="35">
        <f t="shared" si="289"/>
        <v>0</v>
      </c>
      <c r="AH474" s="35">
        <f t="shared" si="290"/>
        <v>0</v>
      </c>
      <c r="AI474" s="77" t="s">
        <v>66</v>
      </c>
      <c r="AJ474" s="64">
        <f t="shared" si="291"/>
        <v>0</v>
      </c>
      <c r="AK474" s="64">
        <f t="shared" si="292"/>
        <v>0</v>
      </c>
      <c r="AL474" s="64">
        <f t="shared" si="293"/>
        <v>2800</v>
      </c>
      <c r="AN474" s="35">
        <v>21</v>
      </c>
      <c r="AO474" s="35">
        <f t="shared" si="294"/>
        <v>0</v>
      </c>
      <c r="AP474" s="35">
        <f t="shared" si="295"/>
        <v>350</v>
      </c>
      <c r="AQ474" s="78" t="s">
        <v>109</v>
      </c>
      <c r="AV474" s="35">
        <f t="shared" si="296"/>
        <v>2800</v>
      </c>
      <c r="AW474" s="35">
        <f t="shared" si="297"/>
        <v>0</v>
      </c>
      <c r="AX474" s="35">
        <f t="shared" si="298"/>
        <v>2800</v>
      </c>
      <c r="AY474" s="80" t="s">
        <v>1700</v>
      </c>
      <c r="AZ474" s="80" t="s">
        <v>1748</v>
      </c>
      <c r="BA474" s="77" t="s">
        <v>1779</v>
      </c>
      <c r="BC474" s="35">
        <f t="shared" si="299"/>
        <v>2800</v>
      </c>
      <c r="BD474" s="35">
        <f t="shared" si="300"/>
        <v>350</v>
      </c>
      <c r="BE474" s="35">
        <v>0</v>
      </c>
      <c r="BF474" s="35">
        <f>474</f>
        <v>474</v>
      </c>
      <c r="BH474" s="64">
        <f t="shared" si="301"/>
        <v>0</v>
      </c>
      <c r="BI474" s="64">
        <f t="shared" si="302"/>
        <v>2800</v>
      </c>
      <c r="BJ474" s="64">
        <f t="shared" si="303"/>
        <v>2800</v>
      </c>
      <c r="BK474" s="64" t="s">
        <v>1790</v>
      </c>
      <c r="BL474" s="35" t="s">
        <v>161</v>
      </c>
    </row>
    <row r="475" spans="1:64">
      <c r="A475" s="47" t="s">
        <v>498</v>
      </c>
      <c r="B475" s="55" t="s">
        <v>66</v>
      </c>
      <c r="C475" s="55" t="s">
        <v>963</v>
      </c>
      <c r="D475" s="165" t="s">
        <v>1453</v>
      </c>
      <c r="E475" s="166"/>
      <c r="F475" s="166"/>
      <c r="G475" s="55" t="s">
        <v>1647</v>
      </c>
      <c r="H475" s="64">
        <v>8</v>
      </c>
      <c r="I475" s="64">
        <v>350</v>
      </c>
      <c r="J475" s="64">
        <f t="shared" si="280"/>
        <v>0</v>
      </c>
      <c r="K475" s="64">
        <f t="shared" si="281"/>
        <v>2800</v>
      </c>
      <c r="L475" s="64">
        <f t="shared" si="282"/>
        <v>2800</v>
      </c>
      <c r="M475" s="73"/>
      <c r="N475" s="19"/>
      <c r="Z475" s="35">
        <f t="shared" si="283"/>
        <v>0</v>
      </c>
      <c r="AB475" s="35">
        <f t="shared" si="284"/>
        <v>0</v>
      </c>
      <c r="AC475" s="35">
        <f t="shared" si="285"/>
        <v>2800</v>
      </c>
      <c r="AD475" s="35">
        <f t="shared" si="286"/>
        <v>0</v>
      </c>
      <c r="AE475" s="35">
        <f t="shared" si="287"/>
        <v>0</v>
      </c>
      <c r="AF475" s="35">
        <f t="shared" si="288"/>
        <v>0</v>
      </c>
      <c r="AG475" s="35">
        <f t="shared" si="289"/>
        <v>0</v>
      </c>
      <c r="AH475" s="35">
        <f t="shared" si="290"/>
        <v>0</v>
      </c>
      <c r="AI475" s="77" t="s">
        <v>66</v>
      </c>
      <c r="AJ475" s="64">
        <f t="shared" si="291"/>
        <v>0</v>
      </c>
      <c r="AK475" s="64">
        <f t="shared" si="292"/>
        <v>0</v>
      </c>
      <c r="AL475" s="64">
        <f t="shared" si="293"/>
        <v>2800</v>
      </c>
      <c r="AN475" s="35">
        <v>21</v>
      </c>
      <c r="AO475" s="35">
        <f t="shared" si="294"/>
        <v>0</v>
      </c>
      <c r="AP475" s="35">
        <f t="shared" si="295"/>
        <v>350</v>
      </c>
      <c r="AQ475" s="78" t="s">
        <v>109</v>
      </c>
      <c r="AV475" s="35">
        <f t="shared" si="296"/>
        <v>2800</v>
      </c>
      <c r="AW475" s="35">
        <f t="shared" si="297"/>
        <v>0</v>
      </c>
      <c r="AX475" s="35">
        <f t="shared" si="298"/>
        <v>2800</v>
      </c>
      <c r="AY475" s="80" t="s">
        <v>1700</v>
      </c>
      <c r="AZ475" s="80" t="s">
        <v>1748</v>
      </c>
      <c r="BA475" s="77" t="s">
        <v>1779</v>
      </c>
      <c r="BC475" s="35">
        <f t="shared" si="299"/>
        <v>2800</v>
      </c>
      <c r="BD475" s="35">
        <f t="shared" si="300"/>
        <v>350</v>
      </c>
      <c r="BE475" s="35">
        <v>0</v>
      </c>
      <c r="BF475" s="35">
        <f>475</f>
        <v>475</v>
      </c>
      <c r="BH475" s="64">
        <f t="shared" si="301"/>
        <v>0</v>
      </c>
      <c r="BI475" s="64">
        <f t="shared" si="302"/>
        <v>2800</v>
      </c>
      <c r="BJ475" s="64">
        <f t="shared" si="303"/>
        <v>2800</v>
      </c>
      <c r="BK475" s="64" t="s">
        <v>1790</v>
      </c>
      <c r="BL475" s="35" t="s">
        <v>161</v>
      </c>
    </row>
    <row r="476" spans="1:64">
      <c r="A476" s="47" t="s">
        <v>499</v>
      </c>
      <c r="B476" s="55" t="s">
        <v>66</v>
      </c>
      <c r="C476" s="55" t="s">
        <v>964</v>
      </c>
      <c r="D476" s="165" t="s">
        <v>1428</v>
      </c>
      <c r="E476" s="166"/>
      <c r="F476" s="166"/>
      <c r="G476" s="55" t="s">
        <v>1647</v>
      </c>
      <c r="H476" s="64">
        <v>8</v>
      </c>
      <c r="I476" s="64">
        <v>450</v>
      </c>
      <c r="J476" s="64">
        <f t="shared" si="280"/>
        <v>0</v>
      </c>
      <c r="K476" s="64">
        <f t="shared" si="281"/>
        <v>3600</v>
      </c>
      <c r="L476" s="64">
        <f t="shared" si="282"/>
        <v>3600</v>
      </c>
      <c r="M476" s="73"/>
      <c r="N476" s="19"/>
      <c r="Z476" s="35">
        <f t="shared" si="283"/>
        <v>0</v>
      </c>
      <c r="AB476" s="35">
        <f t="shared" si="284"/>
        <v>0</v>
      </c>
      <c r="AC476" s="35">
        <f t="shared" si="285"/>
        <v>0</v>
      </c>
      <c r="AD476" s="35">
        <f t="shared" si="286"/>
        <v>0</v>
      </c>
      <c r="AE476" s="35">
        <f t="shared" si="287"/>
        <v>0</v>
      </c>
      <c r="AF476" s="35">
        <f t="shared" si="288"/>
        <v>0</v>
      </c>
      <c r="AG476" s="35">
        <f t="shared" si="289"/>
        <v>3600</v>
      </c>
      <c r="AH476" s="35">
        <f t="shared" si="290"/>
        <v>0</v>
      </c>
      <c r="AI476" s="77" t="s">
        <v>66</v>
      </c>
      <c r="AJ476" s="64">
        <f t="shared" si="291"/>
        <v>0</v>
      </c>
      <c r="AK476" s="64">
        <f t="shared" si="292"/>
        <v>0</v>
      </c>
      <c r="AL476" s="64">
        <f t="shared" si="293"/>
        <v>3600</v>
      </c>
      <c r="AN476" s="35">
        <v>21</v>
      </c>
      <c r="AO476" s="35">
        <f t="shared" si="294"/>
        <v>0</v>
      </c>
      <c r="AP476" s="35">
        <f t="shared" si="295"/>
        <v>450</v>
      </c>
      <c r="AQ476" s="78" t="s">
        <v>110</v>
      </c>
      <c r="AV476" s="35">
        <f t="shared" si="296"/>
        <v>3600</v>
      </c>
      <c r="AW476" s="35">
        <f t="shared" si="297"/>
        <v>0</v>
      </c>
      <c r="AX476" s="35">
        <f t="shared" si="298"/>
        <v>3600</v>
      </c>
      <c r="AY476" s="80" t="s">
        <v>1700</v>
      </c>
      <c r="AZ476" s="80" t="s">
        <v>1748</v>
      </c>
      <c r="BA476" s="77" t="s">
        <v>1779</v>
      </c>
      <c r="BC476" s="35">
        <f t="shared" si="299"/>
        <v>3600</v>
      </c>
      <c r="BD476" s="35">
        <f t="shared" si="300"/>
        <v>450</v>
      </c>
      <c r="BE476" s="35">
        <v>0</v>
      </c>
      <c r="BF476" s="35">
        <f>476</f>
        <v>476</v>
      </c>
      <c r="BH476" s="64">
        <f t="shared" si="301"/>
        <v>0</v>
      </c>
      <c r="BI476" s="64">
        <f t="shared" si="302"/>
        <v>3600</v>
      </c>
      <c r="BJ476" s="64">
        <f t="shared" si="303"/>
        <v>3600</v>
      </c>
      <c r="BK476" s="64" t="s">
        <v>1790</v>
      </c>
      <c r="BL476" s="35" t="s">
        <v>161</v>
      </c>
    </row>
    <row r="477" spans="1:64">
      <c r="A477" s="47" t="s">
        <v>500</v>
      </c>
      <c r="B477" s="55" t="s">
        <v>66</v>
      </c>
      <c r="C477" s="55" t="s">
        <v>963</v>
      </c>
      <c r="D477" s="165" t="s">
        <v>1429</v>
      </c>
      <c r="E477" s="166"/>
      <c r="F477" s="166"/>
      <c r="G477" s="55" t="s">
        <v>1647</v>
      </c>
      <c r="H477" s="64">
        <v>16</v>
      </c>
      <c r="I477" s="64">
        <v>285</v>
      </c>
      <c r="J477" s="64">
        <f t="shared" si="280"/>
        <v>0</v>
      </c>
      <c r="K477" s="64">
        <f t="shared" si="281"/>
        <v>4560</v>
      </c>
      <c r="L477" s="64">
        <f t="shared" si="282"/>
        <v>4560</v>
      </c>
      <c r="M477" s="73"/>
      <c r="N477" s="19"/>
      <c r="Z477" s="35">
        <f t="shared" si="283"/>
        <v>0</v>
      </c>
      <c r="AB477" s="35">
        <f t="shared" si="284"/>
        <v>0</v>
      </c>
      <c r="AC477" s="35">
        <f t="shared" si="285"/>
        <v>4560</v>
      </c>
      <c r="AD477" s="35">
        <f t="shared" si="286"/>
        <v>0</v>
      </c>
      <c r="AE477" s="35">
        <f t="shared" si="287"/>
        <v>0</v>
      </c>
      <c r="AF477" s="35">
        <f t="shared" si="288"/>
        <v>0</v>
      </c>
      <c r="AG477" s="35">
        <f t="shared" si="289"/>
        <v>0</v>
      </c>
      <c r="AH477" s="35">
        <f t="shared" si="290"/>
        <v>0</v>
      </c>
      <c r="AI477" s="77" t="s">
        <v>66</v>
      </c>
      <c r="AJ477" s="64">
        <f t="shared" si="291"/>
        <v>0</v>
      </c>
      <c r="AK477" s="64">
        <f t="shared" si="292"/>
        <v>0</v>
      </c>
      <c r="AL477" s="64">
        <f t="shared" si="293"/>
        <v>4560</v>
      </c>
      <c r="AN477" s="35">
        <v>21</v>
      </c>
      <c r="AO477" s="35">
        <f t="shared" si="294"/>
        <v>0</v>
      </c>
      <c r="AP477" s="35">
        <f t="shared" si="295"/>
        <v>285</v>
      </c>
      <c r="AQ477" s="78" t="s">
        <v>109</v>
      </c>
      <c r="AV477" s="35">
        <f t="shared" si="296"/>
        <v>4560</v>
      </c>
      <c r="AW477" s="35">
        <f t="shared" si="297"/>
        <v>0</v>
      </c>
      <c r="AX477" s="35">
        <f t="shared" si="298"/>
        <v>4560</v>
      </c>
      <c r="AY477" s="80" t="s">
        <v>1700</v>
      </c>
      <c r="AZ477" s="80" t="s">
        <v>1748</v>
      </c>
      <c r="BA477" s="77" t="s">
        <v>1779</v>
      </c>
      <c r="BC477" s="35">
        <f t="shared" si="299"/>
        <v>4560</v>
      </c>
      <c r="BD477" s="35">
        <f t="shared" si="300"/>
        <v>285</v>
      </c>
      <c r="BE477" s="35">
        <v>0</v>
      </c>
      <c r="BF477" s="35">
        <f>477</f>
        <v>477</v>
      </c>
      <c r="BH477" s="64">
        <f t="shared" si="301"/>
        <v>0</v>
      </c>
      <c r="BI477" s="64">
        <f t="shared" si="302"/>
        <v>4560</v>
      </c>
      <c r="BJ477" s="64">
        <f t="shared" si="303"/>
        <v>4560</v>
      </c>
      <c r="BK477" s="64" t="s">
        <v>1790</v>
      </c>
      <c r="BL477" s="35" t="s">
        <v>161</v>
      </c>
    </row>
    <row r="478" spans="1:64">
      <c r="A478" s="48" t="s">
        <v>501</v>
      </c>
      <c r="B478" s="56" t="s">
        <v>66</v>
      </c>
      <c r="C478" s="56" t="s">
        <v>979</v>
      </c>
      <c r="D478" s="170" t="s">
        <v>1454</v>
      </c>
      <c r="E478" s="171"/>
      <c r="F478" s="171"/>
      <c r="G478" s="56" t="s">
        <v>1633</v>
      </c>
      <c r="H478" s="65">
        <v>320</v>
      </c>
      <c r="I478" s="65">
        <v>15.4</v>
      </c>
      <c r="J478" s="65">
        <f t="shared" si="280"/>
        <v>4928</v>
      </c>
      <c r="K478" s="65">
        <f t="shared" si="281"/>
        <v>0</v>
      </c>
      <c r="L478" s="65">
        <f t="shared" si="282"/>
        <v>4928</v>
      </c>
      <c r="M478" s="74"/>
      <c r="N478" s="19"/>
      <c r="Z478" s="35">
        <f t="shared" si="283"/>
        <v>0</v>
      </c>
      <c r="AB478" s="35">
        <f t="shared" si="284"/>
        <v>4928</v>
      </c>
      <c r="AC478" s="35">
        <f t="shared" si="285"/>
        <v>0</v>
      </c>
      <c r="AD478" s="35">
        <f t="shared" si="286"/>
        <v>0</v>
      </c>
      <c r="AE478" s="35">
        <f t="shared" si="287"/>
        <v>0</v>
      </c>
      <c r="AF478" s="35">
        <f t="shared" si="288"/>
        <v>0</v>
      </c>
      <c r="AG478" s="35">
        <f t="shared" si="289"/>
        <v>0</v>
      </c>
      <c r="AH478" s="35">
        <f t="shared" si="290"/>
        <v>0</v>
      </c>
      <c r="AI478" s="77" t="s">
        <v>66</v>
      </c>
      <c r="AJ478" s="65">
        <f t="shared" si="291"/>
        <v>0</v>
      </c>
      <c r="AK478" s="65">
        <f t="shared" si="292"/>
        <v>0</v>
      </c>
      <c r="AL478" s="65">
        <f t="shared" si="293"/>
        <v>4928</v>
      </c>
      <c r="AN478" s="35">
        <v>21</v>
      </c>
      <c r="AO478" s="35">
        <f t="shared" ref="AO478:AO490" si="304">I478*1</f>
        <v>15.4</v>
      </c>
      <c r="AP478" s="35">
        <f t="shared" ref="AP478:AP490" si="305">I478*(1-1)</f>
        <v>0</v>
      </c>
      <c r="AQ478" s="79" t="s">
        <v>109</v>
      </c>
      <c r="AV478" s="35">
        <f t="shared" si="296"/>
        <v>4928</v>
      </c>
      <c r="AW478" s="35">
        <f t="shared" si="297"/>
        <v>4928</v>
      </c>
      <c r="AX478" s="35">
        <f t="shared" si="298"/>
        <v>0</v>
      </c>
      <c r="AY478" s="80" t="s">
        <v>1700</v>
      </c>
      <c r="AZ478" s="80" t="s">
        <v>1748</v>
      </c>
      <c r="BA478" s="77" t="s">
        <v>1779</v>
      </c>
      <c r="BC478" s="35">
        <f t="shared" si="299"/>
        <v>4928</v>
      </c>
      <c r="BD478" s="35">
        <f t="shared" si="300"/>
        <v>15.4</v>
      </c>
      <c r="BE478" s="35">
        <v>0</v>
      </c>
      <c r="BF478" s="35">
        <f>478</f>
        <v>478</v>
      </c>
      <c r="BH478" s="65">
        <f t="shared" si="301"/>
        <v>4928</v>
      </c>
      <c r="BI478" s="65">
        <f t="shared" si="302"/>
        <v>0</v>
      </c>
      <c r="BJ478" s="65">
        <f t="shared" si="303"/>
        <v>4928</v>
      </c>
      <c r="BK478" s="65" t="s">
        <v>1642</v>
      </c>
      <c r="BL478" s="35" t="s">
        <v>161</v>
      </c>
    </row>
    <row r="479" spans="1:64">
      <c r="A479" s="48" t="s">
        <v>502</v>
      </c>
      <c r="B479" s="56" t="s">
        <v>66</v>
      </c>
      <c r="C479" s="56" t="s">
        <v>979</v>
      </c>
      <c r="D479" s="170" t="s">
        <v>1455</v>
      </c>
      <c r="E479" s="171"/>
      <c r="F479" s="171"/>
      <c r="G479" s="56" t="s">
        <v>1633</v>
      </c>
      <c r="H479" s="65">
        <v>120</v>
      </c>
      <c r="I479" s="65">
        <v>28.8</v>
      </c>
      <c r="J479" s="65">
        <f t="shared" si="280"/>
        <v>3456</v>
      </c>
      <c r="K479" s="65">
        <f t="shared" si="281"/>
        <v>0</v>
      </c>
      <c r="L479" s="65">
        <f t="shared" si="282"/>
        <v>3456</v>
      </c>
      <c r="M479" s="74"/>
      <c r="N479" s="19"/>
      <c r="Z479" s="35">
        <f t="shared" si="283"/>
        <v>0</v>
      </c>
      <c r="AB479" s="35">
        <f t="shared" si="284"/>
        <v>3456</v>
      </c>
      <c r="AC479" s="35">
        <f t="shared" si="285"/>
        <v>0</v>
      </c>
      <c r="AD479" s="35">
        <f t="shared" si="286"/>
        <v>0</v>
      </c>
      <c r="AE479" s="35">
        <f t="shared" si="287"/>
        <v>0</v>
      </c>
      <c r="AF479" s="35">
        <f t="shared" si="288"/>
        <v>0</v>
      </c>
      <c r="AG479" s="35">
        <f t="shared" si="289"/>
        <v>0</v>
      </c>
      <c r="AH479" s="35">
        <f t="shared" si="290"/>
        <v>0</v>
      </c>
      <c r="AI479" s="77" t="s">
        <v>66</v>
      </c>
      <c r="AJ479" s="65">
        <f t="shared" si="291"/>
        <v>0</v>
      </c>
      <c r="AK479" s="65">
        <f t="shared" si="292"/>
        <v>0</v>
      </c>
      <c r="AL479" s="65">
        <f t="shared" si="293"/>
        <v>3456</v>
      </c>
      <c r="AN479" s="35">
        <v>21</v>
      </c>
      <c r="AO479" s="35">
        <f t="shared" si="304"/>
        <v>28.8</v>
      </c>
      <c r="AP479" s="35">
        <f t="shared" si="305"/>
        <v>0</v>
      </c>
      <c r="AQ479" s="79" t="s">
        <v>109</v>
      </c>
      <c r="AV479" s="35">
        <f t="shared" si="296"/>
        <v>3456</v>
      </c>
      <c r="AW479" s="35">
        <f t="shared" si="297"/>
        <v>3456</v>
      </c>
      <c r="AX479" s="35">
        <f t="shared" si="298"/>
        <v>0</v>
      </c>
      <c r="AY479" s="80" t="s">
        <v>1700</v>
      </c>
      <c r="AZ479" s="80" t="s">
        <v>1748</v>
      </c>
      <c r="BA479" s="77" t="s">
        <v>1779</v>
      </c>
      <c r="BC479" s="35">
        <f t="shared" si="299"/>
        <v>3456</v>
      </c>
      <c r="BD479" s="35">
        <f t="shared" si="300"/>
        <v>28.800000000000004</v>
      </c>
      <c r="BE479" s="35">
        <v>0</v>
      </c>
      <c r="BF479" s="35">
        <f>479</f>
        <v>479</v>
      </c>
      <c r="BH479" s="65">
        <f t="shared" si="301"/>
        <v>3456</v>
      </c>
      <c r="BI479" s="65">
        <f t="shared" si="302"/>
        <v>0</v>
      </c>
      <c r="BJ479" s="65">
        <f t="shared" si="303"/>
        <v>3456</v>
      </c>
      <c r="BK479" s="65" t="s">
        <v>1642</v>
      </c>
      <c r="BL479" s="35" t="s">
        <v>161</v>
      </c>
    </row>
    <row r="480" spans="1:64">
      <c r="A480" s="48" t="s">
        <v>503</v>
      </c>
      <c r="B480" s="56" t="s">
        <v>66</v>
      </c>
      <c r="C480" s="56" t="s">
        <v>980</v>
      </c>
      <c r="D480" s="170" t="s">
        <v>1456</v>
      </c>
      <c r="E480" s="171"/>
      <c r="F480" s="171"/>
      <c r="G480" s="56" t="s">
        <v>1631</v>
      </c>
      <c r="H480" s="65">
        <v>40</v>
      </c>
      <c r="I480" s="65">
        <v>165.4</v>
      </c>
      <c r="J480" s="65">
        <f t="shared" si="280"/>
        <v>6616</v>
      </c>
      <c r="K480" s="65">
        <f t="shared" si="281"/>
        <v>0</v>
      </c>
      <c r="L480" s="65">
        <f t="shared" si="282"/>
        <v>6616</v>
      </c>
      <c r="M480" s="74"/>
      <c r="N480" s="19"/>
      <c r="Z480" s="35">
        <f t="shared" si="283"/>
        <v>0</v>
      </c>
      <c r="AB480" s="35">
        <f t="shared" si="284"/>
        <v>6616</v>
      </c>
      <c r="AC480" s="35">
        <f t="shared" si="285"/>
        <v>0</v>
      </c>
      <c r="AD480" s="35">
        <f t="shared" si="286"/>
        <v>0</v>
      </c>
      <c r="AE480" s="35">
        <f t="shared" si="287"/>
        <v>0</v>
      </c>
      <c r="AF480" s="35">
        <f t="shared" si="288"/>
        <v>0</v>
      </c>
      <c r="AG480" s="35">
        <f t="shared" si="289"/>
        <v>0</v>
      </c>
      <c r="AH480" s="35">
        <f t="shared" si="290"/>
        <v>0</v>
      </c>
      <c r="AI480" s="77" t="s">
        <v>66</v>
      </c>
      <c r="AJ480" s="65">
        <f t="shared" si="291"/>
        <v>0</v>
      </c>
      <c r="AK480" s="65">
        <f t="shared" si="292"/>
        <v>0</v>
      </c>
      <c r="AL480" s="65">
        <f t="shared" si="293"/>
        <v>6616</v>
      </c>
      <c r="AN480" s="35">
        <v>21</v>
      </c>
      <c r="AO480" s="35">
        <f t="shared" si="304"/>
        <v>165.4</v>
      </c>
      <c r="AP480" s="35">
        <f t="shared" si="305"/>
        <v>0</v>
      </c>
      <c r="AQ480" s="79" t="s">
        <v>109</v>
      </c>
      <c r="AV480" s="35">
        <f t="shared" si="296"/>
        <v>6616</v>
      </c>
      <c r="AW480" s="35">
        <f t="shared" si="297"/>
        <v>6616</v>
      </c>
      <c r="AX480" s="35">
        <f t="shared" si="298"/>
        <v>0</v>
      </c>
      <c r="AY480" s="80" t="s">
        <v>1700</v>
      </c>
      <c r="AZ480" s="80" t="s">
        <v>1748</v>
      </c>
      <c r="BA480" s="77" t="s">
        <v>1779</v>
      </c>
      <c r="BC480" s="35">
        <f t="shared" si="299"/>
        <v>6616</v>
      </c>
      <c r="BD480" s="35">
        <f t="shared" si="300"/>
        <v>165.4</v>
      </c>
      <c r="BE480" s="35">
        <v>0</v>
      </c>
      <c r="BF480" s="35">
        <f>480</f>
        <v>480</v>
      </c>
      <c r="BH480" s="65">
        <f t="shared" si="301"/>
        <v>6616</v>
      </c>
      <c r="BI480" s="65">
        <f t="shared" si="302"/>
        <v>0</v>
      </c>
      <c r="BJ480" s="65">
        <f t="shared" si="303"/>
        <v>6616</v>
      </c>
      <c r="BK480" s="65" t="s">
        <v>1642</v>
      </c>
      <c r="BL480" s="35" t="s">
        <v>161</v>
      </c>
    </row>
    <row r="481" spans="1:64">
      <c r="A481" s="48" t="s">
        <v>504</v>
      </c>
      <c r="B481" s="56" t="s">
        <v>66</v>
      </c>
      <c r="C481" s="56" t="s">
        <v>981</v>
      </c>
      <c r="D481" s="170" t="s">
        <v>1457</v>
      </c>
      <c r="E481" s="171"/>
      <c r="F481" s="171"/>
      <c r="G481" s="56" t="s">
        <v>1633</v>
      </c>
      <c r="H481" s="65">
        <v>950</v>
      </c>
      <c r="I481" s="65">
        <v>13</v>
      </c>
      <c r="J481" s="65">
        <f t="shared" si="280"/>
        <v>12350</v>
      </c>
      <c r="K481" s="65">
        <f t="shared" si="281"/>
        <v>0</v>
      </c>
      <c r="L481" s="65">
        <f t="shared" si="282"/>
        <v>12350</v>
      </c>
      <c r="M481" s="74"/>
      <c r="N481" s="19"/>
      <c r="Z481" s="35">
        <f t="shared" si="283"/>
        <v>0</v>
      </c>
      <c r="AB481" s="35">
        <f t="shared" si="284"/>
        <v>12350</v>
      </c>
      <c r="AC481" s="35">
        <f t="shared" si="285"/>
        <v>0</v>
      </c>
      <c r="AD481" s="35">
        <f t="shared" si="286"/>
        <v>0</v>
      </c>
      <c r="AE481" s="35">
        <f t="shared" si="287"/>
        <v>0</v>
      </c>
      <c r="AF481" s="35">
        <f t="shared" si="288"/>
        <v>0</v>
      </c>
      <c r="AG481" s="35">
        <f t="shared" si="289"/>
        <v>0</v>
      </c>
      <c r="AH481" s="35">
        <f t="shared" si="290"/>
        <v>0</v>
      </c>
      <c r="AI481" s="77" t="s">
        <v>66</v>
      </c>
      <c r="AJ481" s="65">
        <f t="shared" si="291"/>
        <v>0</v>
      </c>
      <c r="AK481" s="65">
        <f t="shared" si="292"/>
        <v>0</v>
      </c>
      <c r="AL481" s="65">
        <f t="shared" si="293"/>
        <v>12350</v>
      </c>
      <c r="AN481" s="35">
        <v>21</v>
      </c>
      <c r="AO481" s="35">
        <f t="shared" si="304"/>
        <v>13</v>
      </c>
      <c r="AP481" s="35">
        <f t="shared" si="305"/>
        <v>0</v>
      </c>
      <c r="AQ481" s="79" t="s">
        <v>109</v>
      </c>
      <c r="AV481" s="35">
        <f t="shared" si="296"/>
        <v>12350</v>
      </c>
      <c r="AW481" s="35">
        <f t="shared" si="297"/>
        <v>12350</v>
      </c>
      <c r="AX481" s="35">
        <f t="shared" si="298"/>
        <v>0</v>
      </c>
      <c r="AY481" s="80" t="s">
        <v>1700</v>
      </c>
      <c r="AZ481" s="80" t="s">
        <v>1748</v>
      </c>
      <c r="BA481" s="77" t="s">
        <v>1779</v>
      </c>
      <c r="BC481" s="35">
        <f t="shared" si="299"/>
        <v>12350</v>
      </c>
      <c r="BD481" s="35">
        <f t="shared" si="300"/>
        <v>13</v>
      </c>
      <c r="BE481" s="35">
        <v>0</v>
      </c>
      <c r="BF481" s="35">
        <f>481</f>
        <v>481</v>
      </c>
      <c r="BH481" s="65">
        <f t="shared" si="301"/>
        <v>12350</v>
      </c>
      <c r="BI481" s="65">
        <f t="shared" si="302"/>
        <v>0</v>
      </c>
      <c r="BJ481" s="65">
        <f t="shared" si="303"/>
        <v>12350</v>
      </c>
      <c r="BK481" s="65" t="s">
        <v>1642</v>
      </c>
      <c r="BL481" s="35" t="s">
        <v>161</v>
      </c>
    </row>
    <row r="482" spans="1:64">
      <c r="A482" s="48" t="s">
        <v>505</v>
      </c>
      <c r="B482" s="56" t="s">
        <v>66</v>
      </c>
      <c r="C482" s="56" t="s">
        <v>982</v>
      </c>
      <c r="D482" s="170" t="s">
        <v>1458</v>
      </c>
      <c r="E482" s="171"/>
      <c r="F482" s="171"/>
      <c r="G482" s="56" t="s">
        <v>1633</v>
      </c>
      <c r="H482" s="65">
        <v>120</v>
      </c>
      <c r="I482" s="65">
        <v>9.6999999999999993</v>
      </c>
      <c r="J482" s="65">
        <f t="shared" si="280"/>
        <v>1164</v>
      </c>
      <c r="K482" s="65">
        <f t="shared" si="281"/>
        <v>0</v>
      </c>
      <c r="L482" s="65">
        <f t="shared" si="282"/>
        <v>1164</v>
      </c>
      <c r="M482" s="74"/>
      <c r="N482" s="19"/>
      <c r="Z482" s="35">
        <f t="shared" si="283"/>
        <v>0</v>
      </c>
      <c r="AB482" s="35">
        <f t="shared" si="284"/>
        <v>1164</v>
      </c>
      <c r="AC482" s="35">
        <f t="shared" si="285"/>
        <v>0</v>
      </c>
      <c r="AD482" s="35">
        <f t="shared" si="286"/>
        <v>0</v>
      </c>
      <c r="AE482" s="35">
        <f t="shared" si="287"/>
        <v>0</v>
      </c>
      <c r="AF482" s="35">
        <f t="shared" si="288"/>
        <v>0</v>
      </c>
      <c r="AG482" s="35">
        <f t="shared" si="289"/>
        <v>0</v>
      </c>
      <c r="AH482" s="35">
        <f t="shared" si="290"/>
        <v>0</v>
      </c>
      <c r="AI482" s="77" t="s">
        <v>66</v>
      </c>
      <c r="AJ482" s="65">
        <f t="shared" si="291"/>
        <v>0</v>
      </c>
      <c r="AK482" s="65">
        <f t="shared" si="292"/>
        <v>0</v>
      </c>
      <c r="AL482" s="65">
        <f t="shared" si="293"/>
        <v>1164</v>
      </c>
      <c r="AN482" s="35">
        <v>21</v>
      </c>
      <c r="AO482" s="35">
        <f t="shared" si="304"/>
        <v>9.6999999999999993</v>
      </c>
      <c r="AP482" s="35">
        <f t="shared" si="305"/>
        <v>0</v>
      </c>
      <c r="AQ482" s="79" t="s">
        <v>109</v>
      </c>
      <c r="AV482" s="35">
        <f t="shared" si="296"/>
        <v>1164</v>
      </c>
      <c r="AW482" s="35">
        <f t="shared" si="297"/>
        <v>1164</v>
      </c>
      <c r="AX482" s="35">
        <f t="shared" si="298"/>
        <v>0</v>
      </c>
      <c r="AY482" s="80" t="s">
        <v>1700</v>
      </c>
      <c r="AZ482" s="80" t="s">
        <v>1748</v>
      </c>
      <c r="BA482" s="77" t="s">
        <v>1779</v>
      </c>
      <c r="BC482" s="35">
        <f t="shared" si="299"/>
        <v>1164</v>
      </c>
      <c r="BD482" s="35">
        <f t="shared" si="300"/>
        <v>9.6999999999999993</v>
      </c>
      <c r="BE482" s="35">
        <v>0</v>
      </c>
      <c r="BF482" s="35">
        <f>482</f>
        <v>482</v>
      </c>
      <c r="BH482" s="65">
        <f t="shared" si="301"/>
        <v>1164</v>
      </c>
      <c r="BI482" s="65">
        <f t="shared" si="302"/>
        <v>0</v>
      </c>
      <c r="BJ482" s="65">
        <f t="shared" si="303"/>
        <v>1164</v>
      </c>
      <c r="BK482" s="65" t="s">
        <v>1642</v>
      </c>
      <c r="BL482" s="35" t="s">
        <v>161</v>
      </c>
    </row>
    <row r="483" spans="1:64">
      <c r="A483" s="47" t="s">
        <v>506</v>
      </c>
      <c r="B483" s="55" t="s">
        <v>66</v>
      </c>
      <c r="C483" s="55" t="s">
        <v>963</v>
      </c>
      <c r="D483" s="165" t="s">
        <v>1459</v>
      </c>
      <c r="E483" s="166"/>
      <c r="F483" s="166"/>
      <c r="G483" s="55" t="s">
        <v>1636</v>
      </c>
      <c r="H483" s="64">
        <v>7</v>
      </c>
      <c r="I483" s="64">
        <v>285</v>
      </c>
      <c r="J483" s="64">
        <f t="shared" si="280"/>
        <v>1995</v>
      </c>
      <c r="K483" s="64">
        <f t="shared" si="281"/>
        <v>0</v>
      </c>
      <c r="L483" s="64">
        <f t="shared" si="282"/>
        <v>1995</v>
      </c>
      <c r="M483" s="73"/>
      <c r="N483" s="19"/>
      <c r="Z483" s="35">
        <f t="shared" si="283"/>
        <v>0</v>
      </c>
      <c r="AB483" s="35">
        <f t="shared" si="284"/>
        <v>1995</v>
      </c>
      <c r="AC483" s="35">
        <f t="shared" si="285"/>
        <v>0</v>
      </c>
      <c r="AD483" s="35">
        <f t="shared" si="286"/>
        <v>0</v>
      </c>
      <c r="AE483" s="35">
        <f t="shared" si="287"/>
        <v>0</v>
      </c>
      <c r="AF483" s="35">
        <f t="shared" si="288"/>
        <v>0</v>
      </c>
      <c r="AG483" s="35">
        <f t="shared" si="289"/>
        <v>0</v>
      </c>
      <c r="AH483" s="35">
        <f t="shared" si="290"/>
        <v>0</v>
      </c>
      <c r="AI483" s="77" t="s">
        <v>66</v>
      </c>
      <c r="AJ483" s="64">
        <f t="shared" si="291"/>
        <v>0</v>
      </c>
      <c r="AK483" s="64">
        <f t="shared" si="292"/>
        <v>0</v>
      </c>
      <c r="AL483" s="64">
        <f t="shared" si="293"/>
        <v>1995</v>
      </c>
      <c r="AN483" s="35">
        <v>21</v>
      </c>
      <c r="AO483" s="35">
        <f t="shared" si="304"/>
        <v>285</v>
      </c>
      <c r="AP483" s="35">
        <f t="shared" si="305"/>
        <v>0</v>
      </c>
      <c r="AQ483" s="78" t="s">
        <v>109</v>
      </c>
      <c r="AV483" s="35">
        <f t="shared" si="296"/>
        <v>1995</v>
      </c>
      <c r="AW483" s="35">
        <f t="shared" si="297"/>
        <v>1995</v>
      </c>
      <c r="AX483" s="35">
        <f t="shared" si="298"/>
        <v>0</v>
      </c>
      <c r="AY483" s="80" t="s">
        <v>1700</v>
      </c>
      <c r="AZ483" s="80" t="s">
        <v>1748</v>
      </c>
      <c r="BA483" s="77" t="s">
        <v>1779</v>
      </c>
      <c r="BC483" s="35">
        <f t="shared" si="299"/>
        <v>1995</v>
      </c>
      <c r="BD483" s="35">
        <f t="shared" si="300"/>
        <v>285</v>
      </c>
      <c r="BE483" s="35">
        <v>0</v>
      </c>
      <c r="BF483" s="35">
        <f>483</f>
        <v>483</v>
      </c>
      <c r="BH483" s="64">
        <f t="shared" si="301"/>
        <v>1995</v>
      </c>
      <c r="BI483" s="64">
        <f t="shared" si="302"/>
        <v>0</v>
      </c>
      <c r="BJ483" s="64">
        <f t="shared" si="303"/>
        <v>1995</v>
      </c>
      <c r="BK483" s="64" t="s">
        <v>1790</v>
      </c>
      <c r="BL483" s="35" t="s">
        <v>161</v>
      </c>
    </row>
    <row r="484" spans="1:64">
      <c r="A484" s="47" t="s">
        <v>507</v>
      </c>
      <c r="B484" s="55" t="s">
        <v>66</v>
      </c>
      <c r="C484" s="55" t="s">
        <v>963</v>
      </c>
      <c r="D484" s="165" t="s">
        <v>1460</v>
      </c>
      <c r="E484" s="166"/>
      <c r="F484" s="166"/>
      <c r="G484" s="55" t="s">
        <v>1636</v>
      </c>
      <c r="H484" s="64">
        <v>72</v>
      </c>
      <c r="I484" s="64">
        <v>2511.4</v>
      </c>
      <c r="J484" s="64">
        <f t="shared" si="280"/>
        <v>180820.80000000002</v>
      </c>
      <c r="K484" s="64">
        <f t="shared" si="281"/>
        <v>0</v>
      </c>
      <c r="L484" s="64">
        <f t="shared" si="282"/>
        <v>180820.80000000002</v>
      </c>
      <c r="M484" s="73"/>
      <c r="N484" s="19"/>
      <c r="Z484" s="35">
        <f t="shared" si="283"/>
        <v>0</v>
      </c>
      <c r="AB484" s="35">
        <f t="shared" si="284"/>
        <v>180820.80000000002</v>
      </c>
      <c r="AC484" s="35">
        <f t="shared" si="285"/>
        <v>0</v>
      </c>
      <c r="AD484" s="35">
        <f t="shared" si="286"/>
        <v>0</v>
      </c>
      <c r="AE484" s="35">
        <f t="shared" si="287"/>
        <v>0</v>
      </c>
      <c r="AF484" s="35">
        <f t="shared" si="288"/>
        <v>0</v>
      </c>
      <c r="AG484" s="35">
        <f t="shared" si="289"/>
        <v>0</v>
      </c>
      <c r="AH484" s="35">
        <f t="shared" si="290"/>
        <v>0</v>
      </c>
      <c r="AI484" s="77" t="s">
        <v>66</v>
      </c>
      <c r="AJ484" s="64">
        <f t="shared" si="291"/>
        <v>0</v>
      </c>
      <c r="AK484" s="64">
        <f t="shared" si="292"/>
        <v>0</v>
      </c>
      <c r="AL484" s="64">
        <f t="shared" si="293"/>
        <v>180820.80000000002</v>
      </c>
      <c r="AN484" s="35">
        <v>21</v>
      </c>
      <c r="AO484" s="35">
        <f t="shared" si="304"/>
        <v>2511.4</v>
      </c>
      <c r="AP484" s="35">
        <f t="shared" si="305"/>
        <v>0</v>
      </c>
      <c r="AQ484" s="78" t="s">
        <v>109</v>
      </c>
      <c r="AV484" s="35">
        <f t="shared" si="296"/>
        <v>180820.80000000002</v>
      </c>
      <c r="AW484" s="35">
        <f t="shared" si="297"/>
        <v>180820.80000000002</v>
      </c>
      <c r="AX484" s="35">
        <f t="shared" si="298"/>
        <v>0</v>
      </c>
      <c r="AY484" s="80" t="s">
        <v>1700</v>
      </c>
      <c r="AZ484" s="80" t="s">
        <v>1748</v>
      </c>
      <c r="BA484" s="77" t="s">
        <v>1779</v>
      </c>
      <c r="BC484" s="35">
        <f t="shared" si="299"/>
        <v>180820.80000000002</v>
      </c>
      <c r="BD484" s="35">
        <f t="shared" si="300"/>
        <v>2511.4</v>
      </c>
      <c r="BE484" s="35">
        <v>0</v>
      </c>
      <c r="BF484" s="35">
        <f>484</f>
        <v>484</v>
      </c>
      <c r="BH484" s="64">
        <f t="shared" si="301"/>
        <v>180820.80000000002</v>
      </c>
      <c r="BI484" s="64">
        <f t="shared" si="302"/>
        <v>0</v>
      </c>
      <c r="BJ484" s="64">
        <f t="shared" si="303"/>
        <v>180820.80000000002</v>
      </c>
      <c r="BK484" s="64" t="s">
        <v>1790</v>
      </c>
      <c r="BL484" s="35" t="s">
        <v>161</v>
      </c>
    </row>
    <row r="485" spans="1:64">
      <c r="A485" s="47" t="s">
        <v>508</v>
      </c>
      <c r="B485" s="55" t="s">
        <v>66</v>
      </c>
      <c r="C485" s="55" t="s">
        <v>963</v>
      </c>
      <c r="D485" s="165" t="s">
        <v>1461</v>
      </c>
      <c r="E485" s="166"/>
      <c r="F485" s="166"/>
      <c r="G485" s="55" t="s">
        <v>1636</v>
      </c>
      <c r="H485" s="64">
        <v>26</v>
      </c>
      <c r="I485" s="64">
        <v>876.9</v>
      </c>
      <c r="J485" s="64">
        <f t="shared" si="280"/>
        <v>22799.399999999998</v>
      </c>
      <c r="K485" s="64">
        <f t="shared" si="281"/>
        <v>0</v>
      </c>
      <c r="L485" s="64">
        <f t="shared" si="282"/>
        <v>22799.399999999998</v>
      </c>
      <c r="M485" s="73"/>
      <c r="N485" s="19"/>
      <c r="Z485" s="35">
        <f t="shared" si="283"/>
        <v>0</v>
      </c>
      <c r="AB485" s="35">
        <f t="shared" si="284"/>
        <v>22799.399999999998</v>
      </c>
      <c r="AC485" s="35">
        <f t="shared" si="285"/>
        <v>0</v>
      </c>
      <c r="AD485" s="35">
        <f t="shared" si="286"/>
        <v>0</v>
      </c>
      <c r="AE485" s="35">
        <f t="shared" si="287"/>
        <v>0</v>
      </c>
      <c r="AF485" s="35">
        <f t="shared" si="288"/>
        <v>0</v>
      </c>
      <c r="AG485" s="35">
        <f t="shared" si="289"/>
        <v>0</v>
      </c>
      <c r="AH485" s="35">
        <f t="shared" si="290"/>
        <v>0</v>
      </c>
      <c r="AI485" s="77" t="s">
        <v>66</v>
      </c>
      <c r="AJ485" s="64">
        <f t="shared" si="291"/>
        <v>0</v>
      </c>
      <c r="AK485" s="64">
        <f t="shared" si="292"/>
        <v>0</v>
      </c>
      <c r="AL485" s="64">
        <f t="shared" si="293"/>
        <v>22799.399999999998</v>
      </c>
      <c r="AN485" s="35">
        <v>21</v>
      </c>
      <c r="AO485" s="35">
        <f t="shared" si="304"/>
        <v>876.9</v>
      </c>
      <c r="AP485" s="35">
        <f t="shared" si="305"/>
        <v>0</v>
      </c>
      <c r="AQ485" s="78" t="s">
        <v>109</v>
      </c>
      <c r="AV485" s="35">
        <f t="shared" si="296"/>
        <v>22799.399999999998</v>
      </c>
      <c r="AW485" s="35">
        <f t="shared" si="297"/>
        <v>22799.399999999998</v>
      </c>
      <c r="AX485" s="35">
        <f t="shared" si="298"/>
        <v>0</v>
      </c>
      <c r="AY485" s="80" t="s">
        <v>1700</v>
      </c>
      <c r="AZ485" s="80" t="s">
        <v>1748</v>
      </c>
      <c r="BA485" s="77" t="s">
        <v>1779</v>
      </c>
      <c r="BC485" s="35">
        <f t="shared" si="299"/>
        <v>22799.399999999998</v>
      </c>
      <c r="BD485" s="35">
        <f t="shared" si="300"/>
        <v>876.9</v>
      </c>
      <c r="BE485" s="35">
        <v>0</v>
      </c>
      <c r="BF485" s="35">
        <f>485</f>
        <v>485</v>
      </c>
      <c r="BH485" s="64">
        <f t="shared" si="301"/>
        <v>22799.399999999998</v>
      </c>
      <c r="BI485" s="64">
        <f t="shared" si="302"/>
        <v>0</v>
      </c>
      <c r="BJ485" s="64">
        <f t="shared" si="303"/>
        <v>22799.399999999998</v>
      </c>
      <c r="BK485" s="64" t="s">
        <v>1790</v>
      </c>
      <c r="BL485" s="35" t="s">
        <v>161</v>
      </c>
    </row>
    <row r="486" spans="1:64">
      <c r="A486" s="47" t="s">
        <v>509</v>
      </c>
      <c r="B486" s="55" t="s">
        <v>66</v>
      </c>
      <c r="C486" s="55" t="s">
        <v>963</v>
      </c>
      <c r="D486" s="165" t="s">
        <v>1462</v>
      </c>
      <c r="E486" s="166"/>
      <c r="F486" s="166"/>
      <c r="G486" s="55" t="s">
        <v>1636</v>
      </c>
      <c r="H486" s="64">
        <v>7</v>
      </c>
      <c r="I486" s="64">
        <v>2154</v>
      </c>
      <c r="J486" s="64">
        <f t="shared" si="280"/>
        <v>15078</v>
      </c>
      <c r="K486" s="64">
        <f t="shared" si="281"/>
        <v>0</v>
      </c>
      <c r="L486" s="64">
        <f t="shared" si="282"/>
        <v>15078</v>
      </c>
      <c r="M486" s="73"/>
      <c r="N486" s="19"/>
      <c r="Z486" s="35">
        <f t="shared" si="283"/>
        <v>0</v>
      </c>
      <c r="AB486" s="35">
        <f t="shared" si="284"/>
        <v>15078</v>
      </c>
      <c r="AC486" s="35">
        <f t="shared" si="285"/>
        <v>0</v>
      </c>
      <c r="AD486" s="35">
        <f t="shared" si="286"/>
        <v>0</v>
      </c>
      <c r="AE486" s="35">
        <f t="shared" si="287"/>
        <v>0</v>
      </c>
      <c r="AF486" s="35">
        <f t="shared" si="288"/>
        <v>0</v>
      </c>
      <c r="AG486" s="35">
        <f t="shared" si="289"/>
        <v>0</v>
      </c>
      <c r="AH486" s="35">
        <f t="shared" si="290"/>
        <v>0</v>
      </c>
      <c r="AI486" s="77" t="s">
        <v>66</v>
      </c>
      <c r="AJ486" s="64">
        <f t="shared" si="291"/>
        <v>0</v>
      </c>
      <c r="AK486" s="64">
        <f t="shared" si="292"/>
        <v>0</v>
      </c>
      <c r="AL486" s="64">
        <f t="shared" si="293"/>
        <v>15078</v>
      </c>
      <c r="AN486" s="35">
        <v>21</v>
      </c>
      <c r="AO486" s="35">
        <f t="shared" si="304"/>
        <v>2154</v>
      </c>
      <c r="AP486" s="35">
        <f t="shared" si="305"/>
        <v>0</v>
      </c>
      <c r="AQ486" s="78" t="s">
        <v>109</v>
      </c>
      <c r="AV486" s="35">
        <f t="shared" si="296"/>
        <v>15078</v>
      </c>
      <c r="AW486" s="35">
        <f t="shared" si="297"/>
        <v>15078</v>
      </c>
      <c r="AX486" s="35">
        <f t="shared" si="298"/>
        <v>0</v>
      </c>
      <c r="AY486" s="80" t="s">
        <v>1700</v>
      </c>
      <c r="AZ486" s="80" t="s">
        <v>1748</v>
      </c>
      <c r="BA486" s="77" t="s">
        <v>1779</v>
      </c>
      <c r="BC486" s="35">
        <f t="shared" si="299"/>
        <v>15078</v>
      </c>
      <c r="BD486" s="35">
        <f t="shared" si="300"/>
        <v>2154</v>
      </c>
      <c r="BE486" s="35">
        <v>0</v>
      </c>
      <c r="BF486" s="35">
        <f>486</f>
        <v>486</v>
      </c>
      <c r="BH486" s="64">
        <f t="shared" si="301"/>
        <v>15078</v>
      </c>
      <c r="BI486" s="64">
        <f t="shared" si="302"/>
        <v>0</v>
      </c>
      <c r="BJ486" s="64">
        <f t="shared" si="303"/>
        <v>15078</v>
      </c>
      <c r="BK486" s="64" t="s">
        <v>1790</v>
      </c>
      <c r="BL486" s="35" t="s">
        <v>161</v>
      </c>
    </row>
    <row r="487" spans="1:64">
      <c r="A487" s="47" t="s">
        <v>510</v>
      </c>
      <c r="B487" s="55" t="s">
        <v>66</v>
      </c>
      <c r="C487" s="55" t="s">
        <v>963</v>
      </c>
      <c r="D487" s="165" t="s">
        <v>1463</v>
      </c>
      <c r="E487" s="166"/>
      <c r="F487" s="166"/>
      <c r="G487" s="55" t="s">
        <v>1636</v>
      </c>
      <c r="H487" s="64">
        <v>24</v>
      </c>
      <c r="I487" s="64">
        <v>1707.4</v>
      </c>
      <c r="J487" s="64">
        <f t="shared" si="280"/>
        <v>40977.600000000006</v>
      </c>
      <c r="K487" s="64">
        <f t="shared" si="281"/>
        <v>0</v>
      </c>
      <c r="L487" s="64">
        <f t="shared" si="282"/>
        <v>40977.600000000006</v>
      </c>
      <c r="M487" s="73"/>
      <c r="N487" s="19"/>
      <c r="Z487" s="35">
        <f t="shared" si="283"/>
        <v>0</v>
      </c>
      <c r="AB487" s="35">
        <f t="shared" si="284"/>
        <v>40977.600000000006</v>
      </c>
      <c r="AC487" s="35">
        <f t="shared" si="285"/>
        <v>0</v>
      </c>
      <c r="AD487" s="35">
        <f t="shared" si="286"/>
        <v>0</v>
      </c>
      <c r="AE487" s="35">
        <f t="shared" si="287"/>
        <v>0</v>
      </c>
      <c r="AF487" s="35">
        <f t="shared" si="288"/>
        <v>0</v>
      </c>
      <c r="AG487" s="35">
        <f t="shared" si="289"/>
        <v>0</v>
      </c>
      <c r="AH487" s="35">
        <f t="shared" si="290"/>
        <v>0</v>
      </c>
      <c r="AI487" s="77" t="s">
        <v>66</v>
      </c>
      <c r="AJ487" s="64">
        <f t="shared" si="291"/>
        <v>0</v>
      </c>
      <c r="AK487" s="64">
        <f t="shared" si="292"/>
        <v>0</v>
      </c>
      <c r="AL487" s="64">
        <f t="shared" si="293"/>
        <v>40977.600000000006</v>
      </c>
      <c r="AN487" s="35">
        <v>21</v>
      </c>
      <c r="AO487" s="35">
        <f t="shared" si="304"/>
        <v>1707.4</v>
      </c>
      <c r="AP487" s="35">
        <f t="shared" si="305"/>
        <v>0</v>
      </c>
      <c r="AQ487" s="78" t="s">
        <v>109</v>
      </c>
      <c r="AV487" s="35">
        <f t="shared" si="296"/>
        <v>40977.600000000006</v>
      </c>
      <c r="AW487" s="35">
        <f t="shared" si="297"/>
        <v>40977.600000000006</v>
      </c>
      <c r="AX487" s="35">
        <f t="shared" si="298"/>
        <v>0</v>
      </c>
      <c r="AY487" s="80" t="s">
        <v>1700</v>
      </c>
      <c r="AZ487" s="80" t="s">
        <v>1748</v>
      </c>
      <c r="BA487" s="77" t="s">
        <v>1779</v>
      </c>
      <c r="BC487" s="35">
        <f t="shared" si="299"/>
        <v>40977.600000000006</v>
      </c>
      <c r="BD487" s="35">
        <f t="shared" si="300"/>
        <v>1707.4</v>
      </c>
      <c r="BE487" s="35">
        <v>0</v>
      </c>
      <c r="BF487" s="35">
        <f>487</f>
        <v>487</v>
      </c>
      <c r="BH487" s="64">
        <f t="shared" si="301"/>
        <v>40977.600000000006</v>
      </c>
      <c r="BI487" s="64">
        <f t="shared" si="302"/>
        <v>0</v>
      </c>
      <c r="BJ487" s="64">
        <f t="shared" si="303"/>
        <v>40977.600000000006</v>
      </c>
      <c r="BK487" s="64" t="s">
        <v>1790</v>
      </c>
      <c r="BL487" s="35" t="s">
        <v>161</v>
      </c>
    </row>
    <row r="488" spans="1:64">
      <c r="A488" s="47" t="s">
        <v>511</v>
      </c>
      <c r="B488" s="55" t="s">
        <v>66</v>
      </c>
      <c r="C488" s="55" t="s">
        <v>963</v>
      </c>
      <c r="D488" s="165" t="s">
        <v>1464</v>
      </c>
      <c r="E488" s="166"/>
      <c r="F488" s="166"/>
      <c r="G488" s="55" t="s">
        <v>1636</v>
      </c>
      <c r="H488" s="64">
        <v>9</v>
      </c>
      <c r="I488" s="64">
        <v>350.4</v>
      </c>
      <c r="J488" s="64">
        <f t="shared" si="280"/>
        <v>3153.6</v>
      </c>
      <c r="K488" s="64">
        <f t="shared" si="281"/>
        <v>0</v>
      </c>
      <c r="L488" s="64">
        <f t="shared" si="282"/>
        <v>3153.6</v>
      </c>
      <c r="M488" s="73"/>
      <c r="N488" s="19"/>
      <c r="Z488" s="35">
        <f t="shared" si="283"/>
        <v>0</v>
      </c>
      <c r="AB488" s="35">
        <f t="shared" si="284"/>
        <v>3153.6</v>
      </c>
      <c r="AC488" s="35">
        <f t="shared" si="285"/>
        <v>0</v>
      </c>
      <c r="AD488" s="35">
        <f t="shared" si="286"/>
        <v>0</v>
      </c>
      <c r="AE488" s="35">
        <f t="shared" si="287"/>
        <v>0</v>
      </c>
      <c r="AF488" s="35">
        <f t="shared" si="288"/>
        <v>0</v>
      </c>
      <c r="AG488" s="35">
        <f t="shared" si="289"/>
        <v>0</v>
      </c>
      <c r="AH488" s="35">
        <f t="shared" si="290"/>
        <v>0</v>
      </c>
      <c r="AI488" s="77" t="s">
        <v>66</v>
      </c>
      <c r="AJ488" s="64">
        <f t="shared" si="291"/>
        <v>0</v>
      </c>
      <c r="AK488" s="64">
        <f t="shared" si="292"/>
        <v>0</v>
      </c>
      <c r="AL488" s="64">
        <f t="shared" si="293"/>
        <v>3153.6</v>
      </c>
      <c r="AN488" s="35">
        <v>21</v>
      </c>
      <c r="AO488" s="35">
        <f t="shared" si="304"/>
        <v>350.4</v>
      </c>
      <c r="AP488" s="35">
        <f t="shared" si="305"/>
        <v>0</v>
      </c>
      <c r="AQ488" s="78" t="s">
        <v>109</v>
      </c>
      <c r="AV488" s="35">
        <f t="shared" si="296"/>
        <v>3153.6</v>
      </c>
      <c r="AW488" s="35">
        <f t="shared" si="297"/>
        <v>3153.6</v>
      </c>
      <c r="AX488" s="35">
        <f t="shared" si="298"/>
        <v>0</v>
      </c>
      <c r="AY488" s="80" t="s">
        <v>1700</v>
      </c>
      <c r="AZ488" s="80" t="s">
        <v>1748</v>
      </c>
      <c r="BA488" s="77" t="s">
        <v>1779</v>
      </c>
      <c r="BC488" s="35">
        <f t="shared" si="299"/>
        <v>3153.6</v>
      </c>
      <c r="BD488" s="35">
        <f t="shared" si="300"/>
        <v>350.4</v>
      </c>
      <c r="BE488" s="35">
        <v>0</v>
      </c>
      <c r="BF488" s="35">
        <f>488</f>
        <v>488</v>
      </c>
      <c r="BH488" s="64">
        <f t="shared" si="301"/>
        <v>3153.6</v>
      </c>
      <c r="BI488" s="64">
        <f t="shared" si="302"/>
        <v>0</v>
      </c>
      <c r="BJ488" s="64">
        <f t="shared" si="303"/>
        <v>3153.6</v>
      </c>
      <c r="BK488" s="64" t="s">
        <v>1790</v>
      </c>
      <c r="BL488" s="35" t="s">
        <v>161</v>
      </c>
    </row>
    <row r="489" spans="1:64">
      <c r="A489" s="47" t="s">
        <v>512</v>
      </c>
      <c r="B489" s="55" t="s">
        <v>66</v>
      </c>
      <c r="C489" s="55" t="s">
        <v>963</v>
      </c>
      <c r="D489" s="165" t="s">
        <v>1465</v>
      </c>
      <c r="E489" s="166"/>
      <c r="F489" s="166"/>
      <c r="G489" s="55" t="s">
        <v>1636</v>
      </c>
      <c r="H489" s="64">
        <v>7</v>
      </c>
      <c r="I489" s="64">
        <v>329.5</v>
      </c>
      <c r="J489" s="64">
        <f t="shared" si="280"/>
        <v>2306.5</v>
      </c>
      <c r="K489" s="64">
        <f t="shared" si="281"/>
        <v>0</v>
      </c>
      <c r="L489" s="64">
        <f t="shared" si="282"/>
        <v>2306.5</v>
      </c>
      <c r="M489" s="73"/>
      <c r="N489" s="19"/>
      <c r="Z489" s="35">
        <f t="shared" si="283"/>
        <v>0</v>
      </c>
      <c r="AB489" s="35">
        <f t="shared" si="284"/>
        <v>2306.5</v>
      </c>
      <c r="AC489" s="35">
        <f t="shared" si="285"/>
        <v>0</v>
      </c>
      <c r="AD489" s="35">
        <f t="shared" si="286"/>
        <v>0</v>
      </c>
      <c r="AE489" s="35">
        <f t="shared" si="287"/>
        <v>0</v>
      </c>
      <c r="AF489" s="35">
        <f t="shared" si="288"/>
        <v>0</v>
      </c>
      <c r="AG489" s="35">
        <f t="shared" si="289"/>
        <v>0</v>
      </c>
      <c r="AH489" s="35">
        <f t="shared" si="290"/>
        <v>0</v>
      </c>
      <c r="AI489" s="77" t="s">
        <v>66</v>
      </c>
      <c r="AJ489" s="64">
        <f t="shared" si="291"/>
        <v>0</v>
      </c>
      <c r="AK489" s="64">
        <f t="shared" si="292"/>
        <v>0</v>
      </c>
      <c r="AL489" s="64">
        <f t="shared" si="293"/>
        <v>2306.5</v>
      </c>
      <c r="AN489" s="35">
        <v>21</v>
      </c>
      <c r="AO489" s="35">
        <f t="shared" si="304"/>
        <v>329.5</v>
      </c>
      <c r="AP489" s="35">
        <f t="shared" si="305"/>
        <v>0</v>
      </c>
      <c r="AQ489" s="78" t="s">
        <v>109</v>
      </c>
      <c r="AV489" s="35">
        <f t="shared" si="296"/>
        <v>2306.5</v>
      </c>
      <c r="AW489" s="35">
        <f t="shared" si="297"/>
        <v>2306.5</v>
      </c>
      <c r="AX489" s="35">
        <f t="shared" si="298"/>
        <v>0</v>
      </c>
      <c r="AY489" s="80" t="s">
        <v>1700</v>
      </c>
      <c r="AZ489" s="80" t="s">
        <v>1748</v>
      </c>
      <c r="BA489" s="77" t="s">
        <v>1779</v>
      </c>
      <c r="BC489" s="35">
        <f t="shared" si="299"/>
        <v>2306.5</v>
      </c>
      <c r="BD489" s="35">
        <f t="shared" si="300"/>
        <v>329.5</v>
      </c>
      <c r="BE489" s="35">
        <v>0</v>
      </c>
      <c r="BF489" s="35">
        <f>489</f>
        <v>489</v>
      </c>
      <c r="BH489" s="64">
        <f t="shared" si="301"/>
        <v>2306.5</v>
      </c>
      <c r="BI489" s="64">
        <f t="shared" si="302"/>
        <v>0</v>
      </c>
      <c r="BJ489" s="64">
        <f t="shared" si="303"/>
        <v>2306.5</v>
      </c>
      <c r="BK489" s="64" t="s">
        <v>1790</v>
      </c>
      <c r="BL489" s="35" t="s">
        <v>161</v>
      </c>
    </row>
    <row r="490" spans="1:64">
      <c r="A490" s="47" t="s">
        <v>513</v>
      </c>
      <c r="B490" s="55" t="s">
        <v>66</v>
      </c>
      <c r="C490" s="55" t="s">
        <v>963</v>
      </c>
      <c r="D490" s="165" t="s">
        <v>1466</v>
      </c>
      <c r="E490" s="166"/>
      <c r="F490" s="166"/>
      <c r="G490" s="55" t="s">
        <v>1636</v>
      </c>
      <c r="H490" s="64">
        <v>24</v>
      </c>
      <c r="I490" s="64">
        <v>556</v>
      </c>
      <c r="J490" s="64">
        <f t="shared" si="280"/>
        <v>13344</v>
      </c>
      <c r="K490" s="64">
        <f t="shared" si="281"/>
        <v>0</v>
      </c>
      <c r="L490" s="64">
        <f t="shared" si="282"/>
        <v>13344</v>
      </c>
      <c r="M490" s="73"/>
      <c r="N490" s="19"/>
      <c r="Z490" s="35">
        <f t="shared" si="283"/>
        <v>0</v>
      </c>
      <c r="AB490" s="35">
        <f t="shared" si="284"/>
        <v>13344</v>
      </c>
      <c r="AC490" s="35">
        <f t="shared" si="285"/>
        <v>0</v>
      </c>
      <c r="AD490" s="35">
        <f t="shared" si="286"/>
        <v>0</v>
      </c>
      <c r="AE490" s="35">
        <f t="shared" si="287"/>
        <v>0</v>
      </c>
      <c r="AF490" s="35">
        <f t="shared" si="288"/>
        <v>0</v>
      </c>
      <c r="AG490" s="35">
        <f t="shared" si="289"/>
        <v>0</v>
      </c>
      <c r="AH490" s="35">
        <f t="shared" si="290"/>
        <v>0</v>
      </c>
      <c r="AI490" s="77" t="s">
        <v>66</v>
      </c>
      <c r="AJ490" s="64">
        <f t="shared" si="291"/>
        <v>0</v>
      </c>
      <c r="AK490" s="64">
        <f t="shared" si="292"/>
        <v>0</v>
      </c>
      <c r="AL490" s="64">
        <f t="shared" si="293"/>
        <v>13344</v>
      </c>
      <c r="AN490" s="35">
        <v>21</v>
      </c>
      <c r="AO490" s="35">
        <f t="shared" si="304"/>
        <v>556</v>
      </c>
      <c r="AP490" s="35">
        <f t="shared" si="305"/>
        <v>0</v>
      </c>
      <c r="AQ490" s="78" t="s">
        <v>109</v>
      </c>
      <c r="AV490" s="35">
        <f t="shared" si="296"/>
        <v>13344</v>
      </c>
      <c r="AW490" s="35">
        <f t="shared" si="297"/>
        <v>13344</v>
      </c>
      <c r="AX490" s="35">
        <f t="shared" si="298"/>
        <v>0</v>
      </c>
      <c r="AY490" s="80" t="s">
        <v>1700</v>
      </c>
      <c r="AZ490" s="80" t="s">
        <v>1748</v>
      </c>
      <c r="BA490" s="77" t="s">
        <v>1779</v>
      </c>
      <c r="BC490" s="35">
        <f t="shared" si="299"/>
        <v>13344</v>
      </c>
      <c r="BD490" s="35">
        <f t="shared" si="300"/>
        <v>556</v>
      </c>
      <c r="BE490" s="35">
        <v>0</v>
      </c>
      <c r="BF490" s="35">
        <f>490</f>
        <v>490</v>
      </c>
      <c r="BH490" s="64">
        <f t="shared" si="301"/>
        <v>13344</v>
      </c>
      <c r="BI490" s="64">
        <f t="shared" si="302"/>
        <v>0</v>
      </c>
      <c r="BJ490" s="64">
        <f t="shared" si="303"/>
        <v>13344</v>
      </c>
      <c r="BK490" s="64" t="s">
        <v>1790</v>
      </c>
      <c r="BL490" s="35" t="s">
        <v>161</v>
      </c>
    </row>
    <row r="491" spans="1:64">
      <c r="A491" s="46"/>
      <c r="B491" s="54" t="s">
        <v>66</v>
      </c>
      <c r="C491" s="54" t="s">
        <v>162</v>
      </c>
      <c r="D491" s="163" t="s">
        <v>212</v>
      </c>
      <c r="E491" s="164"/>
      <c r="F491" s="164"/>
      <c r="G491" s="61" t="s">
        <v>57</v>
      </c>
      <c r="H491" s="61" t="s">
        <v>57</v>
      </c>
      <c r="I491" s="61" t="s">
        <v>57</v>
      </c>
      <c r="J491" s="83">
        <f>SUM(J492:J493)</f>
        <v>0</v>
      </c>
      <c r="K491" s="83">
        <f>SUM(K492:K493)</f>
        <v>3632</v>
      </c>
      <c r="L491" s="83">
        <f>SUM(L492:L493)</f>
        <v>3632</v>
      </c>
      <c r="M491" s="72"/>
      <c r="N491" s="19"/>
      <c r="AI491" s="77" t="s">
        <v>66</v>
      </c>
      <c r="AS491" s="83">
        <f>SUM(AJ492:AJ493)</f>
        <v>0</v>
      </c>
      <c r="AT491" s="83">
        <f>SUM(AK492:AK493)</f>
        <v>0</v>
      </c>
      <c r="AU491" s="83">
        <f>SUM(AL492:AL493)</f>
        <v>3632</v>
      </c>
    </row>
    <row r="492" spans="1:64">
      <c r="A492" s="47" t="s">
        <v>514</v>
      </c>
      <c r="B492" s="55" t="s">
        <v>66</v>
      </c>
      <c r="C492" s="55" t="s">
        <v>983</v>
      </c>
      <c r="D492" s="165" t="s">
        <v>1467</v>
      </c>
      <c r="E492" s="166"/>
      <c r="F492" s="166"/>
      <c r="G492" s="55" t="s">
        <v>1631</v>
      </c>
      <c r="H492" s="64">
        <v>8</v>
      </c>
      <c r="I492" s="64">
        <v>108</v>
      </c>
      <c r="J492" s="64">
        <f>H492*AO492</f>
        <v>0</v>
      </c>
      <c r="K492" s="64">
        <f>H492*AP492</f>
        <v>864</v>
      </c>
      <c r="L492" s="64">
        <f>H492*I492</f>
        <v>864</v>
      </c>
      <c r="M492" s="73"/>
      <c r="N492" s="19"/>
      <c r="Z492" s="35">
        <f>IF(AQ492="5",BJ492,0)</f>
        <v>0</v>
      </c>
      <c r="AB492" s="35">
        <f>IF(AQ492="1",BH492,0)</f>
        <v>0</v>
      </c>
      <c r="AC492" s="35">
        <f>IF(AQ492="1",BI492,0)</f>
        <v>0</v>
      </c>
      <c r="AD492" s="35">
        <f>IF(AQ492="7",BH492,0)</f>
        <v>0</v>
      </c>
      <c r="AE492" s="35">
        <f>IF(AQ492="7",BI492,0)</f>
        <v>0</v>
      </c>
      <c r="AF492" s="35">
        <f>IF(AQ492="2",BH492,0)</f>
        <v>0</v>
      </c>
      <c r="AG492" s="35">
        <f>IF(AQ492="2",BI492,0)</f>
        <v>864</v>
      </c>
      <c r="AH492" s="35">
        <f>IF(AQ492="0",BJ492,0)</f>
        <v>0</v>
      </c>
      <c r="AI492" s="77" t="s">
        <v>66</v>
      </c>
      <c r="AJ492" s="64">
        <f>IF(AN492=0,L492,0)</f>
        <v>0</v>
      </c>
      <c r="AK492" s="64">
        <f>IF(AN492=15,L492,0)</f>
        <v>0</v>
      </c>
      <c r="AL492" s="64">
        <f>IF(AN492=21,L492,0)</f>
        <v>864</v>
      </c>
      <c r="AN492" s="35">
        <v>21</v>
      </c>
      <c r="AO492" s="35">
        <f>I492*0</f>
        <v>0</v>
      </c>
      <c r="AP492" s="35">
        <f>I492*(1-0)</f>
        <v>108</v>
      </c>
      <c r="AQ492" s="78" t="s">
        <v>110</v>
      </c>
      <c r="AV492" s="35">
        <f>AW492+AX492</f>
        <v>864</v>
      </c>
      <c r="AW492" s="35">
        <f>H492*AO492</f>
        <v>0</v>
      </c>
      <c r="AX492" s="35">
        <f>H492*AP492</f>
        <v>864</v>
      </c>
      <c r="AY492" s="80" t="s">
        <v>1701</v>
      </c>
      <c r="AZ492" s="80" t="s">
        <v>1748</v>
      </c>
      <c r="BA492" s="77" t="s">
        <v>1779</v>
      </c>
      <c r="BC492" s="35">
        <f>AW492+AX492</f>
        <v>864</v>
      </c>
      <c r="BD492" s="35">
        <f>I492/(100-BE492)*100</f>
        <v>108</v>
      </c>
      <c r="BE492" s="35">
        <v>0</v>
      </c>
      <c r="BF492" s="35">
        <f>492</f>
        <v>492</v>
      </c>
      <c r="BH492" s="64">
        <f>H492*AO492</f>
        <v>0</v>
      </c>
      <c r="BI492" s="64">
        <f>H492*AP492</f>
        <v>864</v>
      </c>
      <c r="BJ492" s="64">
        <f>H492*I492</f>
        <v>864</v>
      </c>
      <c r="BK492" s="64" t="s">
        <v>1790</v>
      </c>
      <c r="BL492" s="35" t="s">
        <v>162</v>
      </c>
    </row>
    <row r="493" spans="1:64">
      <c r="A493" s="47" t="s">
        <v>515</v>
      </c>
      <c r="B493" s="55" t="s">
        <v>66</v>
      </c>
      <c r="C493" s="55" t="s">
        <v>984</v>
      </c>
      <c r="D493" s="165" t="s">
        <v>1468</v>
      </c>
      <c r="E493" s="166"/>
      <c r="F493" s="166"/>
      <c r="G493" s="55" t="s">
        <v>1631</v>
      </c>
      <c r="H493" s="64">
        <v>16</v>
      </c>
      <c r="I493" s="64">
        <v>173</v>
      </c>
      <c r="J493" s="64">
        <f>H493*AO493</f>
        <v>0</v>
      </c>
      <c r="K493" s="64">
        <f>H493*AP493</f>
        <v>2768</v>
      </c>
      <c r="L493" s="64">
        <f>H493*I493</f>
        <v>2768</v>
      </c>
      <c r="M493" s="73"/>
      <c r="N493" s="19"/>
      <c r="Z493" s="35">
        <f>IF(AQ493="5",BJ493,0)</f>
        <v>0</v>
      </c>
      <c r="AB493" s="35">
        <f>IF(AQ493="1",BH493,0)</f>
        <v>0</v>
      </c>
      <c r="AC493" s="35">
        <f>IF(AQ493="1",BI493,0)</f>
        <v>0</v>
      </c>
      <c r="AD493" s="35">
        <f>IF(AQ493="7",BH493,0)</f>
        <v>0</v>
      </c>
      <c r="AE493" s="35">
        <f>IF(AQ493="7",BI493,0)</f>
        <v>0</v>
      </c>
      <c r="AF493" s="35">
        <f>IF(AQ493="2",BH493,0)</f>
        <v>0</v>
      </c>
      <c r="AG493" s="35">
        <f>IF(AQ493="2",BI493,0)</f>
        <v>2768</v>
      </c>
      <c r="AH493" s="35">
        <f>IF(AQ493="0",BJ493,0)</f>
        <v>0</v>
      </c>
      <c r="AI493" s="77" t="s">
        <v>66</v>
      </c>
      <c r="AJ493" s="64">
        <f>IF(AN493=0,L493,0)</f>
        <v>0</v>
      </c>
      <c r="AK493" s="64">
        <f>IF(AN493=15,L493,0)</f>
        <v>0</v>
      </c>
      <c r="AL493" s="64">
        <f>IF(AN493=21,L493,0)</f>
        <v>2768</v>
      </c>
      <c r="AN493" s="35">
        <v>21</v>
      </c>
      <c r="AO493" s="35">
        <f>I493*0</f>
        <v>0</v>
      </c>
      <c r="AP493" s="35">
        <f>I493*(1-0)</f>
        <v>173</v>
      </c>
      <c r="AQ493" s="78" t="s">
        <v>110</v>
      </c>
      <c r="AV493" s="35">
        <f>AW493+AX493</f>
        <v>2768</v>
      </c>
      <c r="AW493" s="35">
        <f>H493*AO493</f>
        <v>0</v>
      </c>
      <c r="AX493" s="35">
        <f>H493*AP493</f>
        <v>2768</v>
      </c>
      <c r="AY493" s="80" t="s">
        <v>1701</v>
      </c>
      <c r="AZ493" s="80" t="s">
        <v>1748</v>
      </c>
      <c r="BA493" s="77" t="s">
        <v>1779</v>
      </c>
      <c r="BC493" s="35">
        <f>AW493+AX493</f>
        <v>2768</v>
      </c>
      <c r="BD493" s="35">
        <f>I493/(100-BE493)*100</f>
        <v>173</v>
      </c>
      <c r="BE493" s="35">
        <v>0</v>
      </c>
      <c r="BF493" s="35">
        <f>493</f>
        <v>493</v>
      </c>
      <c r="BH493" s="64">
        <f>H493*AO493</f>
        <v>0</v>
      </c>
      <c r="BI493" s="64">
        <f>H493*AP493</f>
        <v>2768</v>
      </c>
      <c r="BJ493" s="64">
        <f>H493*I493</f>
        <v>2768</v>
      </c>
      <c r="BK493" s="64" t="s">
        <v>1790</v>
      </c>
      <c r="BL493" s="35" t="s">
        <v>162</v>
      </c>
    </row>
    <row r="494" spans="1:64">
      <c r="A494" s="49"/>
      <c r="B494" s="57" t="s">
        <v>67</v>
      </c>
      <c r="C494" s="57"/>
      <c r="D494" s="172" t="s">
        <v>83</v>
      </c>
      <c r="E494" s="173"/>
      <c r="F494" s="173"/>
      <c r="G494" s="62" t="s">
        <v>57</v>
      </c>
      <c r="H494" s="62" t="s">
        <v>57</v>
      </c>
      <c r="I494" s="62" t="s">
        <v>57</v>
      </c>
      <c r="J494" s="84">
        <f>J495+J520</f>
        <v>77882.5</v>
      </c>
      <c r="K494" s="84">
        <f>K495+K520</f>
        <v>41813</v>
      </c>
      <c r="L494" s="84">
        <f>L495+L520</f>
        <v>119695.5</v>
      </c>
      <c r="M494" s="75"/>
      <c r="N494" s="19"/>
    </row>
    <row r="495" spans="1:64">
      <c r="A495" s="46"/>
      <c r="B495" s="54" t="s">
        <v>67</v>
      </c>
      <c r="C495" s="54" t="s">
        <v>161</v>
      </c>
      <c r="D495" s="163" t="s">
        <v>211</v>
      </c>
      <c r="E495" s="164"/>
      <c r="F495" s="164"/>
      <c r="G495" s="61" t="s">
        <v>57</v>
      </c>
      <c r="H495" s="61" t="s">
        <v>57</v>
      </c>
      <c r="I495" s="61" t="s">
        <v>57</v>
      </c>
      <c r="J495" s="83">
        <f>SUM(J496:J519)</f>
        <v>77882.5</v>
      </c>
      <c r="K495" s="83">
        <f>SUM(K496:K519)</f>
        <v>39781</v>
      </c>
      <c r="L495" s="83">
        <f>SUM(L496:L519)</f>
        <v>117663.5</v>
      </c>
      <c r="M495" s="72"/>
      <c r="N495" s="19"/>
      <c r="AI495" s="77" t="s">
        <v>67</v>
      </c>
      <c r="AS495" s="83">
        <f>SUM(AJ496:AJ519)</f>
        <v>0</v>
      </c>
      <c r="AT495" s="83">
        <f>SUM(AK496:AK519)</f>
        <v>0</v>
      </c>
      <c r="AU495" s="83">
        <f>SUM(AL496:AL519)</f>
        <v>117663.5</v>
      </c>
    </row>
    <row r="496" spans="1:64">
      <c r="A496" s="47" t="s">
        <v>516</v>
      </c>
      <c r="B496" s="55" t="s">
        <v>67</v>
      </c>
      <c r="C496" s="55" t="s">
        <v>974</v>
      </c>
      <c r="D496" s="165" t="s">
        <v>1444</v>
      </c>
      <c r="E496" s="166"/>
      <c r="F496" s="166"/>
      <c r="G496" s="55" t="s">
        <v>1633</v>
      </c>
      <c r="H496" s="64">
        <v>260</v>
      </c>
      <c r="I496" s="64">
        <v>42.3</v>
      </c>
      <c r="J496" s="64">
        <f t="shared" ref="J496:J519" si="306">H496*AO496</f>
        <v>0</v>
      </c>
      <c r="K496" s="64">
        <f t="shared" ref="K496:K519" si="307">H496*AP496</f>
        <v>10998</v>
      </c>
      <c r="L496" s="64">
        <f t="shared" ref="L496:L519" si="308">H496*I496</f>
        <v>10998</v>
      </c>
      <c r="M496" s="73"/>
      <c r="N496" s="19"/>
      <c r="Z496" s="35">
        <f t="shared" ref="Z496:Z519" si="309">IF(AQ496="5",BJ496,0)</f>
        <v>0</v>
      </c>
      <c r="AB496" s="35">
        <f t="shared" ref="AB496:AB519" si="310">IF(AQ496="1",BH496,0)</f>
        <v>0</v>
      </c>
      <c r="AC496" s="35">
        <f t="shared" ref="AC496:AC519" si="311">IF(AQ496="1",BI496,0)</f>
        <v>0</v>
      </c>
      <c r="AD496" s="35">
        <f t="shared" ref="AD496:AD519" si="312">IF(AQ496="7",BH496,0)</f>
        <v>0</v>
      </c>
      <c r="AE496" s="35">
        <f t="shared" ref="AE496:AE519" si="313">IF(AQ496="7",BI496,0)</f>
        <v>0</v>
      </c>
      <c r="AF496" s="35">
        <f t="shared" ref="AF496:AF519" si="314">IF(AQ496="2",BH496,0)</f>
        <v>0</v>
      </c>
      <c r="AG496" s="35">
        <f t="shared" ref="AG496:AG519" si="315">IF(AQ496="2",BI496,0)</f>
        <v>10998</v>
      </c>
      <c r="AH496" s="35">
        <f t="shared" ref="AH496:AH519" si="316">IF(AQ496="0",BJ496,0)</f>
        <v>0</v>
      </c>
      <c r="AI496" s="77" t="s">
        <v>67</v>
      </c>
      <c r="AJ496" s="64">
        <f t="shared" ref="AJ496:AJ519" si="317">IF(AN496=0,L496,0)</f>
        <v>0</v>
      </c>
      <c r="AK496" s="64">
        <f t="shared" ref="AK496:AK519" si="318">IF(AN496=15,L496,0)</f>
        <v>0</v>
      </c>
      <c r="AL496" s="64">
        <f t="shared" ref="AL496:AL519" si="319">IF(AN496=21,L496,0)</f>
        <v>10998</v>
      </c>
      <c r="AN496" s="35">
        <v>21</v>
      </c>
      <c r="AO496" s="35">
        <f t="shared" ref="AO496:AO510" si="320">I496*0</f>
        <v>0</v>
      </c>
      <c r="AP496" s="35">
        <f t="shared" ref="AP496:AP510" si="321">I496*(1-0)</f>
        <v>42.3</v>
      </c>
      <c r="AQ496" s="78" t="s">
        <v>110</v>
      </c>
      <c r="AV496" s="35">
        <f t="shared" ref="AV496:AV519" si="322">AW496+AX496</f>
        <v>10998</v>
      </c>
      <c r="AW496" s="35">
        <f t="shared" ref="AW496:AW519" si="323">H496*AO496</f>
        <v>0</v>
      </c>
      <c r="AX496" s="35">
        <f t="shared" ref="AX496:AX519" si="324">H496*AP496</f>
        <v>10998</v>
      </c>
      <c r="AY496" s="80" t="s">
        <v>1700</v>
      </c>
      <c r="AZ496" s="80" t="s">
        <v>1749</v>
      </c>
      <c r="BA496" s="77" t="s">
        <v>1780</v>
      </c>
      <c r="BC496" s="35">
        <f t="shared" ref="BC496:BC519" si="325">AW496+AX496</f>
        <v>10998</v>
      </c>
      <c r="BD496" s="35">
        <f t="shared" ref="BD496:BD519" si="326">I496/(100-BE496)*100</f>
        <v>42.3</v>
      </c>
      <c r="BE496" s="35">
        <v>0</v>
      </c>
      <c r="BF496" s="35">
        <f>496</f>
        <v>496</v>
      </c>
      <c r="BH496" s="64">
        <f t="shared" ref="BH496:BH519" si="327">H496*AO496</f>
        <v>0</v>
      </c>
      <c r="BI496" s="64">
        <f t="shared" ref="BI496:BI519" si="328">H496*AP496</f>
        <v>10998</v>
      </c>
      <c r="BJ496" s="64">
        <f t="shared" ref="BJ496:BJ519" si="329">H496*I496</f>
        <v>10998</v>
      </c>
      <c r="BK496" s="64" t="s">
        <v>1790</v>
      </c>
      <c r="BL496" s="35" t="s">
        <v>161</v>
      </c>
    </row>
    <row r="497" spans="1:64">
      <c r="A497" s="47" t="s">
        <v>517</v>
      </c>
      <c r="B497" s="55" t="s">
        <v>67</v>
      </c>
      <c r="C497" s="55" t="s">
        <v>975</v>
      </c>
      <c r="D497" s="165" t="s">
        <v>1445</v>
      </c>
      <c r="E497" s="166"/>
      <c r="F497" s="166"/>
      <c r="G497" s="55" t="s">
        <v>1631</v>
      </c>
      <c r="H497" s="64">
        <v>10</v>
      </c>
      <c r="I497" s="64">
        <v>85.3</v>
      </c>
      <c r="J497" s="64">
        <f t="shared" si="306"/>
        <v>0</v>
      </c>
      <c r="K497" s="64">
        <f t="shared" si="307"/>
        <v>853</v>
      </c>
      <c r="L497" s="64">
        <f t="shared" si="308"/>
        <v>853</v>
      </c>
      <c r="M497" s="73"/>
      <c r="N497" s="19"/>
      <c r="Z497" s="35">
        <f t="shared" si="309"/>
        <v>0</v>
      </c>
      <c r="AB497" s="35">
        <f t="shared" si="310"/>
        <v>0</v>
      </c>
      <c r="AC497" s="35">
        <f t="shared" si="311"/>
        <v>0</v>
      </c>
      <c r="AD497" s="35">
        <f t="shared" si="312"/>
        <v>0</v>
      </c>
      <c r="AE497" s="35">
        <f t="shared" si="313"/>
        <v>0</v>
      </c>
      <c r="AF497" s="35">
        <f t="shared" si="314"/>
        <v>0</v>
      </c>
      <c r="AG497" s="35">
        <f t="shared" si="315"/>
        <v>853</v>
      </c>
      <c r="AH497" s="35">
        <f t="shared" si="316"/>
        <v>0</v>
      </c>
      <c r="AI497" s="77" t="s">
        <v>67</v>
      </c>
      <c r="AJ497" s="64">
        <f t="shared" si="317"/>
        <v>0</v>
      </c>
      <c r="AK497" s="64">
        <f t="shared" si="318"/>
        <v>0</v>
      </c>
      <c r="AL497" s="64">
        <f t="shared" si="319"/>
        <v>853</v>
      </c>
      <c r="AN497" s="35">
        <v>21</v>
      </c>
      <c r="AO497" s="35">
        <f t="shared" si="320"/>
        <v>0</v>
      </c>
      <c r="AP497" s="35">
        <f t="shared" si="321"/>
        <v>85.3</v>
      </c>
      <c r="AQ497" s="78" t="s">
        <v>110</v>
      </c>
      <c r="AV497" s="35">
        <f t="shared" si="322"/>
        <v>853</v>
      </c>
      <c r="AW497" s="35">
        <f t="shared" si="323"/>
        <v>0</v>
      </c>
      <c r="AX497" s="35">
        <f t="shared" si="324"/>
        <v>853</v>
      </c>
      <c r="AY497" s="80" t="s">
        <v>1700</v>
      </c>
      <c r="AZ497" s="80" t="s">
        <v>1749</v>
      </c>
      <c r="BA497" s="77" t="s">
        <v>1780</v>
      </c>
      <c r="BC497" s="35">
        <f t="shared" si="325"/>
        <v>853</v>
      </c>
      <c r="BD497" s="35">
        <f t="shared" si="326"/>
        <v>85.3</v>
      </c>
      <c r="BE497" s="35">
        <v>0</v>
      </c>
      <c r="BF497" s="35">
        <f>497</f>
        <v>497</v>
      </c>
      <c r="BH497" s="64">
        <f t="shared" si="327"/>
        <v>0</v>
      </c>
      <c r="BI497" s="64">
        <f t="shared" si="328"/>
        <v>853</v>
      </c>
      <c r="BJ497" s="64">
        <f t="shared" si="329"/>
        <v>853</v>
      </c>
      <c r="BK497" s="64" t="s">
        <v>1790</v>
      </c>
      <c r="BL497" s="35" t="s">
        <v>161</v>
      </c>
    </row>
    <row r="498" spans="1:64">
      <c r="A498" s="47" t="s">
        <v>518</v>
      </c>
      <c r="B498" s="55" t="s">
        <v>67</v>
      </c>
      <c r="C498" s="55" t="s">
        <v>985</v>
      </c>
      <c r="D498" s="165" t="s">
        <v>1469</v>
      </c>
      <c r="E498" s="166"/>
      <c r="F498" s="166"/>
      <c r="G498" s="55" t="s">
        <v>1633</v>
      </c>
      <c r="H498" s="64">
        <v>100</v>
      </c>
      <c r="I498" s="64">
        <v>22</v>
      </c>
      <c r="J498" s="64">
        <f t="shared" si="306"/>
        <v>0</v>
      </c>
      <c r="K498" s="64">
        <f t="shared" si="307"/>
        <v>2200</v>
      </c>
      <c r="L498" s="64">
        <f t="shared" si="308"/>
        <v>2200</v>
      </c>
      <c r="M498" s="73"/>
      <c r="N498" s="19"/>
      <c r="Z498" s="35">
        <f t="shared" si="309"/>
        <v>0</v>
      </c>
      <c r="AB498" s="35">
        <f t="shared" si="310"/>
        <v>0</v>
      </c>
      <c r="AC498" s="35">
        <f t="shared" si="311"/>
        <v>0</v>
      </c>
      <c r="AD498" s="35">
        <f t="shared" si="312"/>
        <v>0</v>
      </c>
      <c r="AE498" s="35">
        <f t="shared" si="313"/>
        <v>0</v>
      </c>
      <c r="AF498" s="35">
        <f t="shared" si="314"/>
        <v>0</v>
      </c>
      <c r="AG498" s="35">
        <f t="shared" si="315"/>
        <v>2200</v>
      </c>
      <c r="AH498" s="35">
        <f t="shared" si="316"/>
        <v>0</v>
      </c>
      <c r="AI498" s="77" t="s">
        <v>67</v>
      </c>
      <c r="AJ498" s="64">
        <f t="shared" si="317"/>
        <v>0</v>
      </c>
      <c r="AK498" s="64">
        <f t="shared" si="318"/>
        <v>0</v>
      </c>
      <c r="AL498" s="64">
        <f t="shared" si="319"/>
        <v>2200</v>
      </c>
      <c r="AN498" s="35">
        <v>21</v>
      </c>
      <c r="AO498" s="35">
        <f t="shared" si="320"/>
        <v>0</v>
      </c>
      <c r="AP498" s="35">
        <f t="shared" si="321"/>
        <v>22</v>
      </c>
      <c r="AQ498" s="78" t="s">
        <v>110</v>
      </c>
      <c r="AV498" s="35">
        <f t="shared" si="322"/>
        <v>2200</v>
      </c>
      <c r="AW498" s="35">
        <f t="shared" si="323"/>
        <v>0</v>
      </c>
      <c r="AX498" s="35">
        <f t="shared" si="324"/>
        <v>2200</v>
      </c>
      <c r="AY498" s="80" t="s">
        <v>1700</v>
      </c>
      <c r="AZ498" s="80" t="s">
        <v>1749</v>
      </c>
      <c r="BA498" s="77" t="s">
        <v>1780</v>
      </c>
      <c r="BC498" s="35">
        <f t="shared" si="325"/>
        <v>2200</v>
      </c>
      <c r="BD498" s="35">
        <f t="shared" si="326"/>
        <v>22</v>
      </c>
      <c r="BE498" s="35">
        <v>0</v>
      </c>
      <c r="BF498" s="35">
        <f>498</f>
        <v>498</v>
      </c>
      <c r="BH498" s="64">
        <f t="shared" si="327"/>
        <v>0</v>
      </c>
      <c r="BI498" s="64">
        <f t="shared" si="328"/>
        <v>2200</v>
      </c>
      <c r="BJ498" s="64">
        <f t="shared" si="329"/>
        <v>2200</v>
      </c>
      <c r="BK498" s="64" t="s">
        <v>1790</v>
      </c>
      <c r="BL498" s="35" t="s">
        <v>161</v>
      </c>
    </row>
    <row r="499" spans="1:64">
      <c r="A499" s="47" t="s">
        <v>519</v>
      </c>
      <c r="B499" s="55" t="s">
        <v>67</v>
      </c>
      <c r="C499" s="55" t="s">
        <v>986</v>
      </c>
      <c r="D499" s="165" t="s">
        <v>1470</v>
      </c>
      <c r="E499" s="166"/>
      <c r="F499" s="166"/>
      <c r="G499" s="55" t="s">
        <v>1633</v>
      </c>
      <c r="H499" s="64">
        <v>140</v>
      </c>
      <c r="I499" s="64">
        <v>22</v>
      </c>
      <c r="J499" s="64">
        <f t="shared" si="306"/>
        <v>0</v>
      </c>
      <c r="K499" s="64">
        <f t="shared" si="307"/>
        <v>3080</v>
      </c>
      <c r="L499" s="64">
        <f t="shared" si="308"/>
        <v>3080</v>
      </c>
      <c r="M499" s="73"/>
      <c r="N499" s="19"/>
      <c r="Z499" s="35">
        <f t="shared" si="309"/>
        <v>0</v>
      </c>
      <c r="AB499" s="35">
        <f t="shared" si="310"/>
        <v>0</v>
      </c>
      <c r="AC499" s="35">
        <f t="shared" si="311"/>
        <v>0</v>
      </c>
      <c r="AD499" s="35">
        <f t="shared" si="312"/>
        <v>0</v>
      </c>
      <c r="AE499" s="35">
        <f t="shared" si="313"/>
        <v>0</v>
      </c>
      <c r="AF499" s="35">
        <f t="shared" si="314"/>
        <v>0</v>
      </c>
      <c r="AG499" s="35">
        <f t="shared" si="315"/>
        <v>3080</v>
      </c>
      <c r="AH499" s="35">
        <f t="shared" si="316"/>
        <v>0</v>
      </c>
      <c r="AI499" s="77" t="s">
        <v>67</v>
      </c>
      <c r="AJ499" s="64">
        <f t="shared" si="317"/>
        <v>0</v>
      </c>
      <c r="AK499" s="64">
        <f t="shared" si="318"/>
        <v>0</v>
      </c>
      <c r="AL499" s="64">
        <f t="shared" si="319"/>
        <v>3080</v>
      </c>
      <c r="AN499" s="35">
        <v>21</v>
      </c>
      <c r="AO499" s="35">
        <f t="shared" si="320"/>
        <v>0</v>
      </c>
      <c r="AP499" s="35">
        <f t="shared" si="321"/>
        <v>22</v>
      </c>
      <c r="AQ499" s="78" t="s">
        <v>110</v>
      </c>
      <c r="AV499" s="35">
        <f t="shared" si="322"/>
        <v>3080</v>
      </c>
      <c r="AW499" s="35">
        <f t="shared" si="323"/>
        <v>0</v>
      </c>
      <c r="AX499" s="35">
        <f t="shared" si="324"/>
        <v>3080</v>
      </c>
      <c r="AY499" s="80" t="s">
        <v>1700</v>
      </c>
      <c r="AZ499" s="80" t="s">
        <v>1749</v>
      </c>
      <c r="BA499" s="77" t="s">
        <v>1780</v>
      </c>
      <c r="BC499" s="35">
        <f t="shared" si="325"/>
        <v>3080</v>
      </c>
      <c r="BD499" s="35">
        <f t="shared" si="326"/>
        <v>22</v>
      </c>
      <c r="BE499" s="35">
        <v>0</v>
      </c>
      <c r="BF499" s="35">
        <f>499</f>
        <v>499</v>
      </c>
      <c r="BH499" s="64">
        <f t="shared" si="327"/>
        <v>0</v>
      </c>
      <c r="BI499" s="64">
        <f t="shared" si="328"/>
        <v>3080</v>
      </c>
      <c r="BJ499" s="64">
        <f t="shared" si="329"/>
        <v>3080</v>
      </c>
      <c r="BK499" s="64" t="s">
        <v>1790</v>
      </c>
      <c r="BL499" s="35" t="s">
        <v>161</v>
      </c>
    </row>
    <row r="500" spans="1:64">
      <c r="A500" s="47" t="s">
        <v>520</v>
      </c>
      <c r="B500" s="55" t="s">
        <v>67</v>
      </c>
      <c r="C500" s="55" t="s">
        <v>987</v>
      </c>
      <c r="D500" s="165" t="s">
        <v>1471</v>
      </c>
      <c r="E500" s="166"/>
      <c r="F500" s="166"/>
      <c r="G500" s="55" t="s">
        <v>1633</v>
      </c>
      <c r="H500" s="64">
        <v>25</v>
      </c>
      <c r="I500" s="64">
        <v>22</v>
      </c>
      <c r="J500" s="64">
        <f t="shared" si="306"/>
        <v>0</v>
      </c>
      <c r="K500" s="64">
        <f t="shared" si="307"/>
        <v>550</v>
      </c>
      <c r="L500" s="64">
        <f t="shared" si="308"/>
        <v>550</v>
      </c>
      <c r="M500" s="73"/>
      <c r="N500" s="19"/>
      <c r="Z500" s="35">
        <f t="shared" si="309"/>
        <v>0</v>
      </c>
      <c r="AB500" s="35">
        <f t="shared" si="310"/>
        <v>0</v>
      </c>
      <c r="AC500" s="35">
        <f t="shared" si="311"/>
        <v>0</v>
      </c>
      <c r="AD500" s="35">
        <f t="shared" si="312"/>
        <v>0</v>
      </c>
      <c r="AE500" s="35">
        <f t="shared" si="313"/>
        <v>0</v>
      </c>
      <c r="AF500" s="35">
        <f t="shared" si="314"/>
        <v>0</v>
      </c>
      <c r="AG500" s="35">
        <f t="shared" si="315"/>
        <v>550</v>
      </c>
      <c r="AH500" s="35">
        <f t="shared" si="316"/>
        <v>0</v>
      </c>
      <c r="AI500" s="77" t="s">
        <v>67</v>
      </c>
      <c r="AJ500" s="64">
        <f t="shared" si="317"/>
        <v>0</v>
      </c>
      <c r="AK500" s="64">
        <f t="shared" si="318"/>
        <v>0</v>
      </c>
      <c r="AL500" s="64">
        <f t="shared" si="319"/>
        <v>550</v>
      </c>
      <c r="AN500" s="35">
        <v>21</v>
      </c>
      <c r="AO500" s="35">
        <f t="shared" si="320"/>
        <v>0</v>
      </c>
      <c r="AP500" s="35">
        <f t="shared" si="321"/>
        <v>22</v>
      </c>
      <c r="AQ500" s="78" t="s">
        <v>110</v>
      </c>
      <c r="AV500" s="35">
        <f t="shared" si="322"/>
        <v>550</v>
      </c>
      <c r="AW500" s="35">
        <f t="shared" si="323"/>
        <v>0</v>
      </c>
      <c r="AX500" s="35">
        <f t="shared" si="324"/>
        <v>550</v>
      </c>
      <c r="AY500" s="80" t="s">
        <v>1700</v>
      </c>
      <c r="AZ500" s="80" t="s">
        <v>1749</v>
      </c>
      <c r="BA500" s="77" t="s">
        <v>1780</v>
      </c>
      <c r="BC500" s="35">
        <f t="shared" si="325"/>
        <v>550</v>
      </c>
      <c r="BD500" s="35">
        <f t="shared" si="326"/>
        <v>22</v>
      </c>
      <c r="BE500" s="35">
        <v>0</v>
      </c>
      <c r="BF500" s="35">
        <f>500</f>
        <v>500</v>
      </c>
      <c r="BH500" s="64">
        <f t="shared" si="327"/>
        <v>0</v>
      </c>
      <c r="BI500" s="64">
        <f t="shared" si="328"/>
        <v>550</v>
      </c>
      <c r="BJ500" s="64">
        <f t="shared" si="329"/>
        <v>550</v>
      </c>
      <c r="BK500" s="64" t="s">
        <v>1790</v>
      </c>
      <c r="BL500" s="35" t="s">
        <v>161</v>
      </c>
    </row>
    <row r="501" spans="1:64">
      <c r="A501" s="47" t="s">
        <v>521</v>
      </c>
      <c r="B501" s="55" t="s">
        <v>67</v>
      </c>
      <c r="C501" s="55" t="s">
        <v>988</v>
      </c>
      <c r="D501" s="165" t="s">
        <v>1472</v>
      </c>
      <c r="E501" s="166"/>
      <c r="F501" s="166"/>
      <c r="G501" s="55" t="s">
        <v>1631</v>
      </c>
      <c r="H501" s="64">
        <v>5</v>
      </c>
      <c r="I501" s="64">
        <v>105</v>
      </c>
      <c r="J501" s="64">
        <f t="shared" si="306"/>
        <v>0</v>
      </c>
      <c r="K501" s="64">
        <f t="shared" si="307"/>
        <v>525</v>
      </c>
      <c r="L501" s="64">
        <f t="shared" si="308"/>
        <v>525</v>
      </c>
      <c r="M501" s="73"/>
      <c r="N501" s="19"/>
      <c r="Z501" s="35">
        <f t="shared" si="309"/>
        <v>0</v>
      </c>
      <c r="AB501" s="35">
        <f t="shared" si="310"/>
        <v>0</v>
      </c>
      <c r="AC501" s="35">
        <f t="shared" si="311"/>
        <v>0</v>
      </c>
      <c r="AD501" s="35">
        <f t="shared" si="312"/>
        <v>0</v>
      </c>
      <c r="AE501" s="35">
        <f t="shared" si="313"/>
        <v>0</v>
      </c>
      <c r="AF501" s="35">
        <f t="shared" si="314"/>
        <v>0</v>
      </c>
      <c r="AG501" s="35">
        <f t="shared" si="315"/>
        <v>525</v>
      </c>
      <c r="AH501" s="35">
        <f t="shared" si="316"/>
        <v>0</v>
      </c>
      <c r="AI501" s="77" t="s">
        <v>67</v>
      </c>
      <c r="AJ501" s="64">
        <f t="shared" si="317"/>
        <v>0</v>
      </c>
      <c r="AK501" s="64">
        <f t="shared" si="318"/>
        <v>0</v>
      </c>
      <c r="AL501" s="64">
        <f t="shared" si="319"/>
        <v>525</v>
      </c>
      <c r="AN501" s="35">
        <v>21</v>
      </c>
      <c r="AO501" s="35">
        <f t="shared" si="320"/>
        <v>0</v>
      </c>
      <c r="AP501" s="35">
        <f t="shared" si="321"/>
        <v>105</v>
      </c>
      <c r="AQ501" s="78" t="s">
        <v>110</v>
      </c>
      <c r="AV501" s="35">
        <f t="shared" si="322"/>
        <v>525</v>
      </c>
      <c r="AW501" s="35">
        <f t="shared" si="323"/>
        <v>0</v>
      </c>
      <c r="AX501" s="35">
        <f t="shared" si="324"/>
        <v>525</v>
      </c>
      <c r="AY501" s="80" t="s">
        <v>1700</v>
      </c>
      <c r="AZ501" s="80" t="s">
        <v>1749</v>
      </c>
      <c r="BA501" s="77" t="s">
        <v>1780</v>
      </c>
      <c r="BC501" s="35">
        <f t="shared" si="325"/>
        <v>525</v>
      </c>
      <c r="BD501" s="35">
        <f t="shared" si="326"/>
        <v>105</v>
      </c>
      <c r="BE501" s="35">
        <v>0</v>
      </c>
      <c r="BF501" s="35">
        <f>501</f>
        <v>501</v>
      </c>
      <c r="BH501" s="64">
        <f t="shared" si="327"/>
        <v>0</v>
      </c>
      <c r="BI501" s="64">
        <f t="shared" si="328"/>
        <v>525</v>
      </c>
      <c r="BJ501" s="64">
        <f t="shared" si="329"/>
        <v>525</v>
      </c>
      <c r="BK501" s="64" t="s">
        <v>1790</v>
      </c>
      <c r="BL501" s="35" t="s">
        <v>161</v>
      </c>
    </row>
    <row r="502" spans="1:64">
      <c r="A502" s="47" t="s">
        <v>522</v>
      </c>
      <c r="B502" s="55" t="s">
        <v>67</v>
      </c>
      <c r="C502" s="55" t="s">
        <v>989</v>
      </c>
      <c r="D502" s="165" t="s">
        <v>1473</v>
      </c>
      <c r="E502" s="166"/>
      <c r="F502" s="166"/>
      <c r="G502" s="55" t="s">
        <v>1631</v>
      </c>
      <c r="H502" s="64">
        <v>15</v>
      </c>
      <c r="I502" s="64">
        <v>95</v>
      </c>
      <c r="J502" s="64">
        <f t="shared" si="306"/>
        <v>0</v>
      </c>
      <c r="K502" s="64">
        <f t="shared" si="307"/>
        <v>1425</v>
      </c>
      <c r="L502" s="64">
        <f t="shared" si="308"/>
        <v>1425</v>
      </c>
      <c r="M502" s="73"/>
      <c r="N502" s="19"/>
      <c r="Z502" s="35">
        <f t="shared" si="309"/>
        <v>0</v>
      </c>
      <c r="AB502" s="35">
        <f t="shared" si="310"/>
        <v>0</v>
      </c>
      <c r="AC502" s="35">
        <f t="shared" si="311"/>
        <v>0</v>
      </c>
      <c r="AD502" s="35">
        <f t="shared" si="312"/>
        <v>0</v>
      </c>
      <c r="AE502" s="35">
        <f t="shared" si="313"/>
        <v>0</v>
      </c>
      <c r="AF502" s="35">
        <f t="shared" si="314"/>
        <v>0</v>
      </c>
      <c r="AG502" s="35">
        <f t="shared" si="315"/>
        <v>1425</v>
      </c>
      <c r="AH502" s="35">
        <f t="shared" si="316"/>
        <v>0</v>
      </c>
      <c r="AI502" s="77" t="s">
        <v>67</v>
      </c>
      <c r="AJ502" s="64">
        <f t="shared" si="317"/>
        <v>0</v>
      </c>
      <c r="AK502" s="64">
        <f t="shared" si="318"/>
        <v>0</v>
      </c>
      <c r="AL502" s="64">
        <f t="shared" si="319"/>
        <v>1425</v>
      </c>
      <c r="AN502" s="35">
        <v>21</v>
      </c>
      <c r="AO502" s="35">
        <f t="shared" si="320"/>
        <v>0</v>
      </c>
      <c r="AP502" s="35">
        <f t="shared" si="321"/>
        <v>95</v>
      </c>
      <c r="AQ502" s="78" t="s">
        <v>110</v>
      </c>
      <c r="AV502" s="35">
        <f t="shared" si="322"/>
        <v>1425</v>
      </c>
      <c r="AW502" s="35">
        <f t="shared" si="323"/>
        <v>0</v>
      </c>
      <c r="AX502" s="35">
        <f t="shared" si="324"/>
        <v>1425</v>
      </c>
      <c r="AY502" s="80" t="s">
        <v>1700</v>
      </c>
      <c r="AZ502" s="80" t="s">
        <v>1749</v>
      </c>
      <c r="BA502" s="77" t="s">
        <v>1780</v>
      </c>
      <c r="BC502" s="35">
        <f t="shared" si="325"/>
        <v>1425</v>
      </c>
      <c r="BD502" s="35">
        <f t="shared" si="326"/>
        <v>95</v>
      </c>
      <c r="BE502" s="35">
        <v>0</v>
      </c>
      <c r="BF502" s="35">
        <f>502</f>
        <v>502</v>
      </c>
      <c r="BH502" s="64">
        <f t="shared" si="327"/>
        <v>0</v>
      </c>
      <c r="BI502" s="64">
        <f t="shared" si="328"/>
        <v>1425</v>
      </c>
      <c r="BJ502" s="64">
        <f t="shared" si="329"/>
        <v>1425</v>
      </c>
      <c r="BK502" s="64" t="s">
        <v>1790</v>
      </c>
      <c r="BL502" s="35" t="s">
        <v>161</v>
      </c>
    </row>
    <row r="503" spans="1:64">
      <c r="A503" s="47" t="s">
        <v>523</v>
      </c>
      <c r="B503" s="55" t="s">
        <v>67</v>
      </c>
      <c r="C503" s="55" t="s">
        <v>963</v>
      </c>
      <c r="D503" s="165" t="s">
        <v>1474</v>
      </c>
      <c r="E503" s="166"/>
      <c r="F503" s="166"/>
      <c r="G503" s="55" t="s">
        <v>1631</v>
      </c>
      <c r="H503" s="64">
        <v>8</v>
      </c>
      <c r="I503" s="64">
        <v>650</v>
      </c>
      <c r="J503" s="64">
        <f t="shared" si="306"/>
        <v>0</v>
      </c>
      <c r="K503" s="64">
        <f t="shared" si="307"/>
        <v>5200</v>
      </c>
      <c r="L503" s="64">
        <f t="shared" si="308"/>
        <v>5200</v>
      </c>
      <c r="M503" s="73"/>
      <c r="N503" s="19"/>
      <c r="Z503" s="35">
        <f t="shared" si="309"/>
        <v>0</v>
      </c>
      <c r="AB503" s="35">
        <f t="shared" si="310"/>
        <v>0</v>
      </c>
      <c r="AC503" s="35">
        <f t="shared" si="311"/>
        <v>5200</v>
      </c>
      <c r="AD503" s="35">
        <f t="shared" si="312"/>
        <v>0</v>
      </c>
      <c r="AE503" s="35">
        <f t="shared" si="313"/>
        <v>0</v>
      </c>
      <c r="AF503" s="35">
        <f t="shared" si="314"/>
        <v>0</v>
      </c>
      <c r="AG503" s="35">
        <f t="shared" si="315"/>
        <v>0</v>
      </c>
      <c r="AH503" s="35">
        <f t="shared" si="316"/>
        <v>0</v>
      </c>
      <c r="AI503" s="77" t="s">
        <v>67</v>
      </c>
      <c r="AJ503" s="64">
        <f t="shared" si="317"/>
        <v>0</v>
      </c>
      <c r="AK503" s="64">
        <f t="shared" si="318"/>
        <v>0</v>
      </c>
      <c r="AL503" s="64">
        <f t="shared" si="319"/>
        <v>5200</v>
      </c>
      <c r="AN503" s="35">
        <v>21</v>
      </c>
      <c r="AO503" s="35">
        <f t="shared" si="320"/>
        <v>0</v>
      </c>
      <c r="AP503" s="35">
        <f t="shared" si="321"/>
        <v>650</v>
      </c>
      <c r="AQ503" s="78" t="s">
        <v>109</v>
      </c>
      <c r="AV503" s="35">
        <f t="shared" si="322"/>
        <v>5200</v>
      </c>
      <c r="AW503" s="35">
        <f t="shared" si="323"/>
        <v>0</v>
      </c>
      <c r="AX503" s="35">
        <f t="shared" si="324"/>
        <v>5200</v>
      </c>
      <c r="AY503" s="80" t="s">
        <v>1700</v>
      </c>
      <c r="AZ503" s="80" t="s">
        <v>1749</v>
      </c>
      <c r="BA503" s="77" t="s">
        <v>1780</v>
      </c>
      <c r="BC503" s="35">
        <f t="shared" si="325"/>
        <v>5200</v>
      </c>
      <c r="BD503" s="35">
        <f t="shared" si="326"/>
        <v>650</v>
      </c>
      <c r="BE503" s="35">
        <v>0</v>
      </c>
      <c r="BF503" s="35">
        <f>503</f>
        <v>503</v>
      </c>
      <c r="BH503" s="64">
        <f t="shared" si="327"/>
        <v>0</v>
      </c>
      <c r="BI503" s="64">
        <f t="shared" si="328"/>
        <v>5200</v>
      </c>
      <c r="BJ503" s="64">
        <f t="shared" si="329"/>
        <v>5200</v>
      </c>
      <c r="BK503" s="64" t="s">
        <v>1790</v>
      </c>
      <c r="BL503" s="35" t="s">
        <v>161</v>
      </c>
    </row>
    <row r="504" spans="1:64">
      <c r="A504" s="47" t="s">
        <v>524</v>
      </c>
      <c r="B504" s="55" t="s">
        <v>67</v>
      </c>
      <c r="C504" s="55" t="s">
        <v>963</v>
      </c>
      <c r="D504" s="165" t="s">
        <v>1475</v>
      </c>
      <c r="E504" s="166"/>
      <c r="F504" s="166"/>
      <c r="G504" s="55" t="s">
        <v>1631</v>
      </c>
      <c r="H504" s="64">
        <v>10</v>
      </c>
      <c r="I504" s="64">
        <v>320</v>
      </c>
      <c r="J504" s="64">
        <f t="shared" si="306"/>
        <v>0</v>
      </c>
      <c r="K504" s="64">
        <f t="shared" si="307"/>
        <v>3200</v>
      </c>
      <c r="L504" s="64">
        <f t="shared" si="308"/>
        <v>3200</v>
      </c>
      <c r="M504" s="73"/>
      <c r="N504" s="19"/>
      <c r="Z504" s="35">
        <f t="shared" si="309"/>
        <v>0</v>
      </c>
      <c r="AB504" s="35">
        <f t="shared" si="310"/>
        <v>0</v>
      </c>
      <c r="AC504" s="35">
        <f t="shared" si="311"/>
        <v>3200</v>
      </c>
      <c r="AD504" s="35">
        <f t="shared" si="312"/>
        <v>0</v>
      </c>
      <c r="AE504" s="35">
        <f t="shared" si="313"/>
        <v>0</v>
      </c>
      <c r="AF504" s="35">
        <f t="shared" si="314"/>
        <v>0</v>
      </c>
      <c r="AG504" s="35">
        <f t="shared" si="315"/>
        <v>0</v>
      </c>
      <c r="AH504" s="35">
        <f t="shared" si="316"/>
        <v>0</v>
      </c>
      <c r="AI504" s="77" t="s">
        <v>67</v>
      </c>
      <c r="AJ504" s="64">
        <f t="shared" si="317"/>
        <v>0</v>
      </c>
      <c r="AK504" s="64">
        <f t="shared" si="318"/>
        <v>0</v>
      </c>
      <c r="AL504" s="64">
        <f t="shared" si="319"/>
        <v>3200</v>
      </c>
      <c r="AN504" s="35">
        <v>21</v>
      </c>
      <c r="AO504" s="35">
        <f t="shared" si="320"/>
        <v>0</v>
      </c>
      <c r="AP504" s="35">
        <f t="shared" si="321"/>
        <v>320</v>
      </c>
      <c r="AQ504" s="78" t="s">
        <v>109</v>
      </c>
      <c r="AV504" s="35">
        <f t="shared" si="322"/>
        <v>3200</v>
      </c>
      <c r="AW504" s="35">
        <f t="shared" si="323"/>
        <v>0</v>
      </c>
      <c r="AX504" s="35">
        <f t="shared" si="324"/>
        <v>3200</v>
      </c>
      <c r="AY504" s="80" t="s">
        <v>1700</v>
      </c>
      <c r="AZ504" s="80" t="s">
        <v>1749</v>
      </c>
      <c r="BA504" s="77" t="s">
        <v>1780</v>
      </c>
      <c r="BC504" s="35">
        <f t="shared" si="325"/>
        <v>3200</v>
      </c>
      <c r="BD504" s="35">
        <f t="shared" si="326"/>
        <v>320</v>
      </c>
      <c r="BE504" s="35">
        <v>0</v>
      </c>
      <c r="BF504" s="35">
        <f>504</f>
        <v>504</v>
      </c>
      <c r="BH504" s="64">
        <f t="shared" si="327"/>
        <v>0</v>
      </c>
      <c r="BI504" s="64">
        <f t="shared" si="328"/>
        <v>3200</v>
      </c>
      <c r="BJ504" s="64">
        <f t="shared" si="329"/>
        <v>3200</v>
      </c>
      <c r="BK504" s="64" t="s">
        <v>1790</v>
      </c>
      <c r="BL504" s="35" t="s">
        <v>161</v>
      </c>
    </row>
    <row r="505" spans="1:64">
      <c r="A505" s="47" t="s">
        <v>525</v>
      </c>
      <c r="B505" s="55" t="s">
        <v>67</v>
      </c>
      <c r="C505" s="55" t="s">
        <v>963</v>
      </c>
      <c r="D505" s="165" t="s">
        <v>1476</v>
      </c>
      <c r="E505" s="166"/>
      <c r="F505" s="166"/>
      <c r="G505" s="55" t="s">
        <v>1636</v>
      </c>
      <c r="H505" s="64">
        <v>22</v>
      </c>
      <c r="I505" s="64">
        <v>105</v>
      </c>
      <c r="J505" s="64">
        <f t="shared" si="306"/>
        <v>0</v>
      </c>
      <c r="K505" s="64">
        <f t="shared" si="307"/>
        <v>2310</v>
      </c>
      <c r="L505" s="64">
        <f t="shared" si="308"/>
        <v>2310</v>
      </c>
      <c r="M505" s="73"/>
      <c r="N505" s="19"/>
      <c r="Z505" s="35">
        <f t="shared" si="309"/>
        <v>0</v>
      </c>
      <c r="AB505" s="35">
        <f t="shared" si="310"/>
        <v>0</v>
      </c>
      <c r="AC505" s="35">
        <f t="shared" si="311"/>
        <v>2310</v>
      </c>
      <c r="AD505" s="35">
        <f t="shared" si="312"/>
        <v>0</v>
      </c>
      <c r="AE505" s="35">
        <f t="shared" si="313"/>
        <v>0</v>
      </c>
      <c r="AF505" s="35">
        <f t="shared" si="314"/>
        <v>0</v>
      </c>
      <c r="AG505" s="35">
        <f t="shared" si="315"/>
        <v>0</v>
      </c>
      <c r="AH505" s="35">
        <f t="shared" si="316"/>
        <v>0</v>
      </c>
      <c r="AI505" s="77" t="s">
        <v>67</v>
      </c>
      <c r="AJ505" s="64">
        <f t="shared" si="317"/>
        <v>0</v>
      </c>
      <c r="AK505" s="64">
        <f t="shared" si="318"/>
        <v>0</v>
      </c>
      <c r="AL505" s="64">
        <f t="shared" si="319"/>
        <v>2310</v>
      </c>
      <c r="AN505" s="35">
        <v>21</v>
      </c>
      <c r="AO505" s="35">
        <f t="shared" si="320"/>
        <v>0</v>
      </c>
      <c r="AP505" s="35">
        <f t="shared" si="321"/>
        <v>105</v>
      </c>
      <c r="AQ505" s="78" t="s">
        <v>109</v>
      </c>
      <c r="AV505" s="35">
        <f t="shared" si="322"/>
        <v>2310</v>
      </c>
      <c r="AW505" s="35">
        <f t="shared" si="323"/>
        <v>0</v>
      </c>
      <c r="AX505" s="35">
        <f t="shared" si="324"/>
        <v>2310</v>
      </c>
      <c r="AY505" s="80" t="s">
        <v>1700</v>
      </c>
      <c r="AZ505" s="80" t="s">
        <v>1749</v>
      </c>
      <c r="BA505" s="77" t="s">
        <v>1780</v>
      </c>
      <c r="BC505" s="35">
        <f t="shared" si="325"/>
        <v>2310</v>
      </c>
      <c r="BD505" s="35">
        <f t="shared" si="326"/>
        <v>105</v>
      </c>
      <c r="BE505" s="35">
        <v>0</v>
      </c>
      <c r="BF505" s="35">
        <f>505</f>
        <v>505</v>
      </c>
      <c r="BH505" s="64">
        <f t="shared" si="327"/>
        <v>0</v>
      </c>
      <c r="BI505" s="64">
        <f t="shared" si="328"/>
        <v>2310</v>
      </c>
      <c r="BJ505" s="64">
        <f t="shared" si="329"/>
        <v>2310</v>
      </c>
      <c r="BK505" s="64" t="s">
        <v>1790</v>
      </c>
      <c r="BL505" s="35" t="s">
        <v>161</v>
      </c>
    </row>
    <row r="506" spans="1:64">
      <c r="A506" s="47" t="s">
        <v>526</v>
      </c>
      <c r="B506" s="55" t="s">
        <v>67</v>
      </c>
      <c r="C506" s="55" t="s">
        <v>963</v>
      </c>
      <c r="D506" s="165" t="s">
        <v>1477</v>
      </c>
      <c r="E506" s="166"/>
      <c r="F506" s="166"/>
      <c r="G506" s="55" t="s">
        <v>1647</v>
      </c>
      <c r="H506" s="64">
        <v>8</v>
      </c>
      <c r="I506" s="64">
        <v>350</v>
      </c>
      <c r="J506" s="64">
        <f t="shared" si="306"/>
        <v>0</v>
      </c>
      <c r="K506" s="64">
        <f t="shared" si="307"/>
        <v>2800</v>
      </c>
      <c r="L506" s="64">
        <f t="shared" si="308"/>
        <v>2800</v>
      </c>
      <c r="M506" s="73"/>
      <c r="N506" s="19"/>
      <c r="Z506" s="35">
        <f t="shared" si="309"/>
        <v>0</v>
      </c>
      <c r="AB506" s="35">
        <f t="shared" si="310"/>
        <v>0</v>
      </c>
      <c r="AC506" s="35">
        <f t="shared" si="311"/>
        <v>2800</v>
      </c>
      <c r="AD506" s="35">
        <f t="shared" si="312"/>
        <v>0</v>
      </c>
      <c r="AE506" s="35">
        <f t="shared" si="313"/>
        <v>0</v>
      </c>
      <c r="AF506" s="35">
        <f t="shared" si="314"/>
        <v>0</v>
      </c>
      <c r="AG506" s="35">
        <f t="shared" si="315"/>
        <v>0</v>
      </c>
      <c r="AH506" s="35">
        <f t="shared" si="316"/>
        <v>0</v>
      </c>
      <c r="AI506" s="77" t="s">
        <v>67</v>
      </c>
      <c r="AJ506" s="64">
        <f t="shared" si="317"/>
        <v>0</v>
      </c>
      <c r="AK506" s="64">
        <f t="shared" si="318"/>
        <v>0</v>
      </c>
      <c r="AL506" s="64">
        <f t="shared" si="319"/>
        <v>2800</v>
      </c>
      <c r="AN506" s="35">
        <v>21</v>
      </c>
      <c r="AO506" s="35">
        <f t="shared" si="320"/>
        <v>0</v>
      </c>
      <c r="AP506" s="35">
        <f t="shared" si="321"/>
        <v>350</v>
      </c>
      <c r="AQ506" s="78" t="s">
        <v>109</v>
      </c>
      <c r="AV506" s="35">
        <f t="shared" si="322"/>
        <v>2800</v>
      </c>
      <c r="AW506" s="35">
        <f t="shared" si="323"/>
        <v>0</v>
      </c>
      <c r="AX506" s="35">
        <f t="shared" si="324"/>
        <v>2800</v>
      </c>
      <c r="AY506" s="80" t="s">
        <v>1700</v>
      </c>
      <c r="AZ506" s="80" t="s">
        <v>1749</v>
      </c>
      <c r="BA506" s="77" t="s">
        <v>1780</v>
      </c>
      <c r="BC506" s="35">
        <f t="shared" si="325"/>
        <v>2800</v>
      </c>
      <c r="BD506" s="35">
        <f t="shared" si="326"/>
        <v>350</v>
      </c>
      <c r="BE506" s="35">
        <v>0</v>
      </c>
      <c r="BF506" s="35">
        <f>506</f>
        <v>506</v>
      </c>
      <c r="BH506" s="64">
        <f t="shared" si="327"/>
        <v>0</v>
      </c>
      <c r="BI506" s="64">
        <f t="shared" si="328"/>
        <v>2800</v>
      </c>
      <c r="BJ506" s="64">
        <f t="shared" si="329"/>
        <v>2800</v>
      </c>
      <c r="BK506" s="64" t="s">
        <v>1790</v>
      </c>
      <c r="BL506" s="35" t="s">
        <v>161</v>
      </c>
    </row>
    <row r="507" spans="1:64">
      <c r="A507" s="47" t="s">
        <v>527</v>
      </c>
      <c r="B507" s="55" t="s">
        <v>67</v>
      </c>
      <c r="C507" s="55" t="s">
        <v>963</v>
      </c>
      <c r="D507" s="165" t="s">
        <v>1478</v>
      </c>
      <c r="E507" s="166"/>
      <c r="F507" s="166"/>
      <c r="G507" s="55" t="s">
        <v>1647</v>
      </c>
      <c r="H507" s="64">
        <v>4</v>
      </c>
      <c r="I507" s="64">
        <v>350</v>
      </c>
      <c r="J507" s="64">
        <f t="shared" si="306"/>
        <v>0</v>
      </c>
      <c r="K507" s="64">
        <f t="shared" si="307"/>
        <v>1400</v>
      </c>
      <c r="L507" s="64">
        <f t="shared" si="308"/>
        <v>1400</v>
      </c>
      <c r="M507" s="73"/>
      <c r="N507" s="19"/>
      <c r="Z507" s="35">
        <f t="shared" si="309"/>
        <v>0</v>
      </c>
      <c r="AB507" s="35">
        <f t="shared" si="310"/>
        <v>0</v>
      </c>
      <c r="AC507" s="35">
        <f t="shared" si="311"/>
        <v>1400</v>
      </c>
      <c r="AD507" s="35">
        <f t="shared" si="312"/>
        <v>0</v>
      </c>
      <c r="AE507" s="35">
        <f t="shared" si="313"/>
        <v>0</v>
      </c>
      <c r="AF507" s="35">
        <f t="shared" si="314"/>
        <v>0</v>
      </c>
      <c r="AG507" s="35">
        <f t="shared" si="315"/>
        <v>0</v>
      </c>
      <c r="AH507" s="35">
        <f t="shared" si="316"/>
        <v>0</v>
      </c>
      <c r="AI507" s="77" t="s">
        <v>67</v>
      </c>
      <c r="AJ507" s="64">
        <f t="shared" si="317"/>
        <v>0</v>
      </c>
      <c r="AK507" s="64">
        <f t="shared" si="318"/>
        <v>0</v>
      </c>
      <c r="AL507" s="64">
        <f t="shared" si="319"/>
        <v>1400</v>
      </c>
      <c r="AN507" s="35">
        <v>21</v>
      </c>
      <c r="AO507" s="35">
        <f t="shared" si="320"/>
        <v>0</v>
      </c>
      <c r="AP507" s="35">
        <f t="shared" si="321"/>
        <v>350</v>
      </c>
      <c r="AQ507" s="78" t="s">
        <v>109</v>
      </c>
      <c r="AV507" s="35">
        <f t="shared" si="322"/>
        <v>1400</v>
      </c>
      <c r="AW507" s="35">
        <f t="shared" si="323"/>
        <v>0</v>
      </c>
      <c r="AX507" s="35">
        <f t="shared" si="324"/>
        <v>1400</v>
      </c>
      <c r="AY507" s="80" t="s">
        <v>1700</v>
      </c>
      <c r="AZ507" s="80" t="s">
        <v>1749</v>
      </c>
      <c r="BA507" s="77" t="s">
        <v>1780</v>
      </c>
      <c r="BC507" s="35">
        <f t="shared" si="325"/>
        <v>1400</v>
      </c>
      <c r="BD507" s="35">
        <f t="shared" si="326"/>
        <v>350</v>
      </c>
      <c r="BE507" s="35">
        <v>0</v>
      </c>
      <c r="BF507" s="35">
        <f>507</f>
        <v>507</v>
      </c>
      <c r="BH507" s="64">
        <f t="shared" si="327"/>
        <v>0</v>
      </c>
      <c r="BI507" s="64">
        <f t="shared" si="328"/>
        <v>1400</v>
      </c>
      <c r="BJ507" s="64">
        <f t="shared" si="329"/>
        <v>1400</v>
      </c>
      <c r="BK507" s="64" t="s">
        <v>1790</v>
      </c>
      <c r="BL507" s="35" t="s">
        <v>161</v>
      </c>
    </row>
    <row r="508" spans="1:64">
      <c r="A508" s="47" t="s">
        <v>528</v>
      </c>
      <c r="B508" s="55" t="s">
        <v>67</v>
      </c>
      <c r="C508" s="55" t="s">
        <v>963</v>
      </c>
      <c r="D508" s="165" t="s">
        <v>1453</v>
      </c>
      <c r="E508" s="166"/>
      <c r="F508" s="166"/>
      <c r="G508" s="55" t="s">
        <v>1647</v>
      </c>
      <c r="H508" s="64">
        <v>4</v>
      </c>
      <c r="I508" s="64">
        <v>350</v>
      </c>
      <c r="J508" s="64">
        <f t="shared" si="306"/>
        <v>0</v>
      </c>
      <c r="K508" s="64">
        <f t="shared" si="307"/>
        <v>1400</v>
      </c>
      <c r="L508" s="64">
        <f t="shared" si="308"/>
        <v>1400</v>
      </c>
      <c r="M508" s="73"/>
      <c r="N508" s="19"/>
      <c r="Z508" s="35">
        <f t="shared" si="309"/>
        <v>0</v>
      </c>
      <c r="AB508" s="35">
        <f t="shared" si="310"/>
        <v>0</v>
      </c>
      <c r="AC508" s="35">
        <f t="shared" si="311"/>
        <v>1400</v>
      </c>
      <c r="AD508" s="35">
        <f t="shared" si="312"/>
        <v>0</v>
      </c>
      <c r="AE508" s="35">
        <f t="shared" si="313"/>
        <v>0</v>
      </c>
      <c r="AF508" s="35">
        <f t="shared" si="314"/>
        <v>0</v>
      </c>
      <c r="AG508" s="35">
        <f t="shared" si="315"/>
        <v>0</v>
      </c>
      <c r="AH508" s="35">
        <f t="shared" si="316"/>
        <v>0</v>
      </c>
      <c r="AI508" s="77" t="s">
        <v>67</v>
      </c>
      <c r="AJ508" s="64">
        <f t="shared" si="317"/>
        <v>0</v>
      </c>
      <c r="AK508" s="64">
        <f t="shared" si="318"/>
        <v>0</v>
      </c>
      <c r="AL508" s="64">
        <f t="shared" si="319"/>
        <v>1400</v>
      </c>
      <c r="AN508" s="35">
        <v>21</v>
      </c>
      <c r="AO508" s="35">
        <f t="shared" si="320"/>
        <v>0</v>
      </c>
      <c r="AP508" s="35">
        <f t="shared" si="321"/>
        <v>350</v>
      </c>
      <c r="AQ508" s="78" t="s">
        <v>109</v>
      </c>
      <c r="AV508" s="35">
        <f t="shared" si="322"/>
        <v>1400</v>
      </c>
      <c r="AW508" s="35">
        <f t="shared" si="323"/>
        <v>0</v>
      </c>
      <c r="AX508" s="35">
        <f t="shared" si="324"/>
        <v>1400</v>
      </c>
      <c r="AY508" s="80" t="s">
        <v>1700</v>
      </c>
      <c r="AZ508" s="80" t="s">
        <v>1749</v>
      </c>
      <c r="BA508" s="77" t="s">
        <v>1780</v>
      </c>
      <c r="BC508" s="35">
        <f t="shared" si="325"/>
        <v>1400</v>
      </c>
      <c r="BD508" s="35">
        <f t="shared" si="326"/>
        <v>350</v>
      </c>
      <c r="BE508" s="35">
        <v>0</v>
      </c>
      <c r="BF508" s="35">
        <f>508</f>
        <v>508</v>
      </c>
      <c r="BH508" s="64">
        <f t="shared" si="327"/>
        <v>0</v>
      </c>
      <c r="BI508" s="64">
        <f t="shared" si="328"/>
        <v>1400</v>
      </c>
      <c r="BJ508" s="64">
        <f t="shared" si="329"/>
        <v>1400</v>
      </c>
      <c r="BK508" s="64" t="s">
        <v>1790</v>
      </c>
      <c r="BL508" s="35" t="s">
        <v>161</v>
      </c>
    </row>
    <row r="509" spans="1:64">
      <c r="A509" s="47" t="s">
        <v>529</v>
      </c>
      <c r="B509" s="55" t="s">
        <v>67</v>
      </c>
      <c r="C509" s="55" t="s">
        <v>964</v>
      </c>
      <c r="D509" s="165" t="s">
        <v>1428</v>
      </c>
      <c r="E509" s="166"/>
      <c r="F509" s="166"/>
      <c r="G509" s="55" t="s">
        <v>1647</v>
      </c>
      <c r="H509" s="64">
        <v>6</v>
      </c>
      <c r="I509" s="64">
        <v>450</v>
      </c>
      <c r="J509" s="64">
        <f t="shared" si="306"/>
        <v>0</v>
      </c>
      <c r="K509" s="64">
        <f t="shared" si="307"/>
        <v>2700</v>
      </c>
      <c r="L509" s="64">
        <f t="shared" si="308"/>
        <v>2700</v>
      </c>
      <c r="M509" s="73"/>
      <c r="N509" s="19"/>
      <c r="Z509" s="35">
        <f t="shared" si="309"/>
        <v>0</v>
      </c>
      <c r="AB509" s="35">
        <f t="shared" si="310"/>
        <v>0</v>
      </c>
      <c r="AC509" s="35">
        <f t="shared" si="311"/>
        <v>0</v>
      </c>
      <c r="AD509" s="35">
        <f t="shared" si="312"/>
        <v>0</v>
      </c>
      <c r="AE509" s="35">
        <f t="shared" si="313"/>
        <v>0</v>
      </c>
      <c r="AF509" s="35">
        <f t="shared" si="314"/>
        <v>0</v>
      </c>
      <c r="AG509" s="35">
        <f t="shared" si="315"/>
        <v>2700</v>
      </c>
      <c r="AH509" s="35">
        <f t="shared" si="316"/>
        <v>0</v>
      </c>
      <c r="AI509" s="77" t="s">
        <v>67</v>
      </c>
      <c r="AJ509" s="64">
        <f t="shared" si="317"/>
        <v>0</v>
      </c>
      <c r="AK509" s="64">
        <f t="shared" si="318"/>
        <v>0</v>
      </c>
      <c r="AL509" s="64">
        <f t="shared" si="319"/>
        <v>2700</v>
      </c>
      <c r="AN509" s="35">
        <v>21</v>
      </c>
      <c r="AO509" s="35">
        <f t="shared" si="320"/>
        <v>0</v>
      </c>
      <c r="AP509" s="35">
        <f t="shared" si="321"/>
        <v>450</v>
      </c>
      <c r="AQ509" s="78" t="s">
        <v>110</v>
      </c>
      <c r="AV509" s="35">
        <f t="shared" si="322"/>
        <v>2700</v>
      </c>
      <c r="AW509" s="35">
        <f t="shared" si="323"/>
        <v>0</v>
      </c>
      <c r="AX509" s="35">
        <f t="shared" si="324"/>
        <v>2700</v>
      </c>
      <c r="AY509" s="80" t="s">
        <v>1700</v>
      </c>
      <c r="AZ509" s="80" t="s">
        <v>1749</v>
      </c>
      <c r="BA509" s="77" t="s">
        <v>1780</v>
      </c>
      <c r="BC509" s="35">
        <f t="shared" si="325"/>
        <v>2700</v>
      </c>
      <c r="BD509" s="35">
        <f t="shared" si="326"/>
        <v>450</v>
      </c>
      <c r="BE509" s="35">
        <v>0</v>
      </c>
      <c r="BF509" s="35">
        <f>509</f>
        <v>509</v>
      </c>
      <c r="BH509" s="64">
        <f t="shared" si="327"/>
        <v>0</v>
      </c>
      <c r="BI509" s="64">
        <f t="shared" si="328"/>
        <v>2700</v>
      </c>
      <c r="BJ509" s="64">
        <f t="shared" si="329"/>
        <v>2700</v>
      </c>
      <c r="BK509" s="64" t="s">
        <v>1790</v>
      </c>
      <c r="BL509" s="35" t="s">
        <v>161</v>
      </c>
    </row>
    <row r="510" spans="1:64">
      <c r="A510" s="47" t="s">
        <v>530</v>
      </c>
      <c r="B510" s="55" t="s">
        <v>67</v>
      </c>
      <c r="C510" s="55" t="s">
        <v>963</v>
      </c>
      <c r="D510" s="165" t="s">
        <v>1429</v>
      </c>
      <c r="E510" s="166"/>
      <c r="F510" s="166"/>
      <c r="G510" s="55" t="s">
        <v>1647</v>
      </c>
      <c r="H510" s="64">
        <v>4</v>
      </c>
      <c r="I510" s="64">
        <v>285</v>
      </c>
      <c r="J510" s="64">
        <f t="shared" si="306"/>
        <v>0</v>
      </c>
      <c r="K510" s="64">
        <f t="shared" si="307"/>
        <v>1140</v>
      </c>
      <c r="L510" s="64">
        <f t="shared" si="308"/>
        <v>1140</v>
      </c>
      <c r="M510" s="73"/>
      <c r="N510" s="19"/>
      <c r="Z510" s="35">
        <f t="shared" si="309"/>
        <v>0</v>
      </c>
      <c r="AB510" s="35">
        <f t="shared" si="310"/>
        <v>0</v>
      </c>
      <c r="AC510" s="35">
        <f t="shared" si="311"/>
        <v>1140</v>
      </c>
      <c r="AD510" s="35">
        <f t="shared" si="312"/>
        <v>0</v>
      </c>
      <c r="AE510" s="35">
        <f t="shared" si="313"/>
        <v>0</v>
      </c>
      <c r="AF510" s="35">
        <f t="shared" si="314"/>
        <v>0</v>
      </c>
      <c r="AG510" s="35">
        <f t="shared" si="315"/>
        <v>0</v>
      </c>
      <c r="AH510" s="35">
        <f t="shared" si="316"/>
        <v>0</v>
      </c>
      <c r="AI510" s="77" t="s">
        <v>67</v>
      </c>
      <c r="AJ510" s="64">
        <f t="shared" si="317"/>
        <v>0</v>
      </c>
      <c r="AK510" s="64">
        <f t="shared" si="318"/>
        <v>0</v>
      </c>
      <c r="AL510" s="64">
        <f t="shared" si="319"/>
        <v>1140</v>
      </c>
      <c r="AN510" s="35">
        <v>21</v>
      </c>
      <c r="AO510" s="35">
        <f t="shared" si="320"/>
        <v>0</v>
      </c>
      <c r="AP510" s="35">
        <f t="shared" si="321"/>
        <v>285</v>
      </c>
      <c r="AQ510" s="78" t="s">
        <v>109</v>
      </c>
      <c r="AV510" s="35">
        <f t="shared" si="322"/>
        <v>1140</v>
      </c>
      <c r="AW510" s="35">
        <f t="shared" si="323"/>
        <v>0</v>
      </c>
      <c r="AX510" s="35">
        <f t="shared" si="324"/>
        <v>1140</v>
      </c>
      <c r="AY510" s="80" t="s">
        <v>1700</v>
      </c>
      <c r="AZ510" s="80" t="s">
        <v>1749</v>
      </c>
      <c r="BA510" s="77" t="s">
        <v>1780</v>
      </c>
      <c r="BC510" s="35">
        <f t="shared" si="325"/>
        <v>1140</v>
      </c>
      <c r="BD510" s="35">
        <f t="shared" si="326"/>
        <v>285</v>
      </c>
      <c r="BE510" s="35">
        <v>0</v>
      </c>
      <c r="BF510" s="35">
        <f>510</f>
        <v>510</v>
      </c>
      <c r="BH510" s="64">
        <f t="shared" si="327"/>
        <v>0</v>
      </c>
      <c r="BI510" s="64">
        <f t="shared" si="328"/>
        <v>1140</v>
      </c>
      <c r="BJ510" s="64">
        <f t="shared" si="329"/>
        <v>1140</v>
      </c>
      <c r="BK510" s="64" t="s">
        <v>1790</v>
      </c>
      <c r="BL510" s="35" t="s">
        <v>161</v>
      </c>
    </row>
    <row r="511" spans="1:64">
      <c r="A511" s="48" t="s">
        <v>531</v>
      </c>
      <c r="B511" s="56" t="s">
        <v>67</v>
      </c>
      <c r="C511" s="56" t="s">
        <v>979</v>
      </c>
      <c r="D511" s="170" t="s">
        <v>1454</v>
      </c>
      <c r="E511" s="171"/>
      <c r="F511" s="171"/>
      <c r="G511" s="56" t="s">
        <v>1633</v>
      </c>
      <c r="H511" s="65">
        <v>80</v>
      </c>
      <c r="I511" s="65">
        <v>15.4</v>
      </c>
      <c r="J511" s="65">
        <f t="shared" si="306"/>
        <v>1232</v>
      </c>
      <c r="K511" s="65">
        <f t="shared" si="307"/>
        <v>0</v>
      </c>
      <c r="L511" s="65">
        <f t="shared" si="308"/>
        <v>1232</v>
      </c>
      <c r="M511" s="74"/>
      <c r="N511" s="19"/>
      <c r="Z511" s="35">
        <f t="shared" si="309"/>
        <v>0</v>
      </c>
      <c r="AB511" s="35">
        <f t="shared" si="310"/>
        <v>1232</v>
      </c>
      <c r="AC511" s="35">
        <f t="shared" si="311"/>
        <v>0</v>
      </c>
      <c r="AD511" s="35">
        <f t="shared" si="312"/>
        <v>0</v>
      </c>
      <c r="AE511" s="35">
        <f t="shared" si="313"/>
        <v>0</v>
      </c>
      <c r="AF511" s="35">
        <f t="shared" si="314"/>
        <v>0</v>
      </c>
      <c r="AG511" s="35">
        <f t="shared" si="315"/>
        <v>0</v>
      </c>
      <c r="AH511" s="35">
        <f t="shared" si="316"/>
        <v>0</v>
      </c>
      <c r="AI511" s="77" t="s">
        <v>67</v>
      </c>
      <c r="AJ511" s="65">
        <f t="shared" si="317"/>
        <v>0</v>
      </c>
      <c r="AK511" s="65">
        <f t="shared" si="318"/>
        <v>0</v>
      </c>
      <c r="AL511" s="65">
        <f t="shared" si="319"/>
        <v>1232</v>
      </c>
      <c r="AN511" s="35">
        <v>21</v>
      </c>
      <c r="AO511" s="35">
        <f t="shared" ref="AO511:AO519" si="330">I511*1</f>
        <v>15.4</v>
      </c>
      <c r="AP511" s="35">
        <f t="shared" ref="AP511:AP519" si="331">I511*(1-1)</f>
        <v>0</v>
      </c>
      <c r="AQ511" s="79" t="s">
        <v>109</v>
      </c>
      <c r="AV511" s="35">
        <f t="shared" si="322"/>
        <v>1232</v>
      </c>
      <c r="AW511" s="35">
        <f t="shared" si="323"/>
        <v>1232</v>
      </c>
      <c r="AX511" s="35">
        <f t="shared" si="324"/>
        <v>0</v>
      </c>
      <c r="AY511" s="80" t="s">
        <v>1700</v>
      </c>
      <c r="AZ511" s="80" t="s">
        <v>1749</v>
      </c>
      <c r="BA511" s="77" t="s">
        <v>1780</v>
      </c>
      <c r="BC511" s="35">
        <f t="shared" si="325"/>
        <v>1232</v>
      </c>
      <c r="BD511" s="35">
        <f t="shared" si="326"/>
        <v>15.4</v>
      </c>
      <c r="BE511" s="35">
        <v>0</v>
      </c>
      <c r="BF511" s="35">
        <f>511</f>
        <v>511</v>
      </c>
      <c r="BH511" s="65">
        <f t="shared" si="327"/>
        <v>1232</v>
      </c>
      <c r="BI511" s="65">
        <f t="shared" si="328"/>
        <v>0</v>
      </c>
      <c r="BJ511" s="65">
        <f t="shared" si="329"/>
        <v>1232</v>
      </c>
      <c r="BK511" s="65" t="s">
        <v>1642</v>
      </c>
      <c r="BL511" s="35" t="s">
        <v>161</v>
      </c>
    </row>
    <row r="512" spans="1:64">
      <c r="A512" s="48" t="s">
        <v>532</v>
      </c>
      <c r="B512" s="56" t="s">
        <v>67</v>
      </c>
      <c r="C512" s="56" t="s">
        <v>979</v>
      </c>
      <c r="D512" s="170" t="s">
        <v>1455</v>
      </c>
      <c r="E512" s="171"/>
      <c r="F512" s="171"/>
      <c r="G512" s="56" t="s">
        <v>1633</v>
      </c>
      <c r="H512" s="65">
        <v>180</v>
      </c>
      <c r="I512" s="65">
        <v>28.8</v>
      </c>
      <c r="J512" s="65">
        <f t="shared" si="306"/>
        <v>5184</v>
      </c>
      <c r="K512" s="65">
        <f t="shared" si="307"/>
        <v>0</v>
      </c>
      <c r="L512" s="65">
        <f t="shared" si="308"/>
        <v>5184</v>
      </c>
      <c r="M512" s="74"/>
      <c r="N512" s="19"/>
      <c r="Z512" s="35">
        <f t="shared" si="309"/>
        <v>0</v>
      </c>
      <c r="AB512" s="35">
        <f t="shared" si="310"/>
        <v>5184</v>
      </c>
      <c r="AC512" s="35">
        <f t="shared" si="311"/>
        <v>0</v>
      </c>
      <c r="AD512" s="35">
        <f t="shared" si="312"/>
        <v>0</v>
      </c>
      <c r="AE512" s="35">
        <f t="shared" si="313"/>
        <v>0</v>
      </c>
      <c r="AF512" s="35">
        <f t="shared" si="314"/>
        <v>0</v>
      </c>
      <c r="AG512" s="35">
        <f t="shared" si="315"/>
        <v>0</v>
      </c>
      <c r="AH512" s="35">
        <f t="shared" si="316"/>
        <v>0</v>
      </c>
      <c r="AI512" s="77" t="s">
        <v>67</v>
      </c>
      <c r="AJ512" s="65">
        <f t="shared" si="317"/>
        <v>0</v>
      </c>
      <c r="AK512" s="65">
        <f t="shared" si="318"/>
        <v>0</v>
      </c>
      <c r="AL512" s="65">
        <f t="shared" si="319"/>
        <v>5184</v>
      </c>
      <c r="AN512" s="35">
        <v>21</v>
      </c>
      <c r="AO512" s="35">
        <f t="shared" si="330"/>
        <v>28.8</v>
      </c>
      <c r="AP512" s="35">
        <f t="shared" si="331"/>
        <v>0</v>
      </c>
      <c r="AQ512" s="79" t="s">
        <v>109</v>
      </c>
      <c r="AV512" s="35">
        <f t="shared" si="322"/>
        <v>5184</v>
      </c>
      <c r="AW512" s="35">
        <f t="shared" si="323"/>
        <v>5184</v>
      </c>
      <c r="AX512" s="35">
        <f t="shared" si="324"/>
        <v>0</v>
      </c>
      <c r="AY512" s="80" t="s">
        <v>1700</v>
      </c>
      <c r="AZ512" s="80" t="s">
        <v>1749</v>
      </c>
      <c r="BA512" s="77" t="s">
        <v>1780</v>
      </c>
      <c r="BC512" s="35">
        <f t="shared" si="325"/>
        <v>5184</v>
      </c>
      <c r="BD512" s="35">
        <f t="shared" si="326"/>
        <v>28.800000000000004</v>
      </c>
      <c r="BE512" s="35">
        <v>0</v>
      </c>
      <c r="BF512" s="35">
        <f>512</f>
        <v>512</v>
      </c>
      <c r="BH512" s="65">
        <f t="shared" si="327"/>
        <v>5184</v>
      </c>
      <c r="BI512" s="65">
        <f t="shared" si="328"/>
        <v>0</v>
      </c>
      <c r="BJ512" s="65">
        <f t="shared" si="329"/>
        <v>5184</v>
      </c>
      <c r="BK512" s="65" t="s">
        <v>1642</v>
      </c>
      <c r="BL512" s="35" t="s">
        <v>161</v>
      </c>
    </row>
    <row r="513" spans="1:64">
      <c r="A513" s="48" t="s">
        <v>533</v>
      </c>
      <c r="B513" s="56" t="s">
        <v>67</v>
      </c>
      <c r="C513" s="56" t="s">
        <v>980</v>
      </c>
      <c r="D513" s="170" t="s">
        <v>1456</v>
      </c>
      <c r="E513" s="171"/>
      <c r="F513" s="171"/>
      <c r="G513" s="56" t="s">
        <v>1631</v>
      </c>
      <c r="H513" s="65">
        <v>10</v>
      </c>
      <c r="I513" s="65">
        <v>165.4</v>
      </c>
      <c r="J513" s="65">
        <f t="shared" si="306"/>
        <v>1654</v>
      </c>
      <c r="K513" s="65">
        <f t="shared" si="307"/>
        <v>0</v>
      </c>
      <c r="L513" s="65">
        <f t="shared" si="308"/>
        <v>1654</v>
      </c>
      <c r="M513" s="74"/>
      <c r="N513" s="19"/>
      <c r="Z513" s="35">
        <f t="shared" si="309"/>
        <v>0</v>
      </c>
      <c r="AB513" s="35">
        <f t="shared" si="310"/>
        <v>1654</v>
      </c>
      <c r="AC513" s="35">
        <f t="shared" si="311"/>
        <v>0</v>
      </c>
      <c r="AD513" s="35">
        <f t="shared" si="312"/>
        <v>0</v>
      </c>
      <c r="AE513" s="35">
        <f t="shared" si="313"/>
        <v>0</v>
      </c>
      <c r="AF513" s="35">
        <f t="shared" si="314"/>
        <v>0</v>
      </c>
      <c r="AG513" s="35">
        <f t="shared" si="315"/>
        <v>0</v>
      </c>
      <c r="AH513" s="35">
        <f t="shared" si="316"/>
        <v>0</v>
      </c>
      <c r="AI513" s="77" t="s">
        <v>67</v>
      </c>
      <c r="AJ513" s="65">
        <f t="shared" si="317"/>
        <v>0</v>
      </c>
      <c r="AK513" s="65">
        <f t="shared" si="318"/>
        <v>0</v>
      </c>
      <c r="AL513" s="65">
        <f t="shared" si="319"/>
        <v>1654</v>
      </c>
      <c r="AN513" s="35">
        <v>21</v>
      </c>
      <c r="AO513" s="35">
        <f t="shared" si="330"/>
        <v>165.4</v>
      </c>
      <c r="AP513" s="35">
        <f t="shared" si="331"/>
        <v>0</v>
      </c>
      <c r="AQ513" s="79" t="s">
        <v>109</v>
      </c>
      <c r="AV513" s="35">
        <f t="shared" si="322"/>
        <v>1654</v>
      </c>
      <c r="AW513" s="35">
        <f t="shared" si="323"/>
        <v>1654</v>
      </c>
      <c r="AX513" s="35">
        <f t="shared" si="324"/>
        <v>0</v>
      </c>
      <c r="AY513" s="80" t="s">
        <v>1700</v>
      </c>
      <c r="AZ513" s="80" t="s">
        <v>1749</v>
      </c>
      <c r="BA513" s="77" t="s">
        <v>1780</v>
      </c>
      <c r="BC513" s="35">
        <f t="shared" si="325"/>
        <v>1654</v>
      </c>
      <c r="BD513" s="35">
        <f t="shared" si="326"/>
        <v>165.4</v>
      </c>
      <c r="BE513" s="35">
        <v>0</v>
      </c>
      <c r="BF513" s="35">
        <f>513</f>
        <v>513</v>
      </c>
      <c r="BH513" s="65">
        <f t="shared" si="327"/>
        <v>1654</v>
      </c>
      <c r="BI513" s="65">
        <f t="shared" si="328"/>
        <v>0</v>
      </c>
      <c r="BJ513" s="65">
        <f t="shared" si="329"/>
        <v>1654</v>
      </c>
      <c r="BK513" s="65" t="s">
        <v>1642</v>
      </c>
      <c r="BL513" s="35" t="s">
        <v>161</v>
      </c>
    </row>
    <row r="514" spans="1:64">
      <c r="A514" s="48" t="s">
        <v>534</v>
      </c>
      <c r="B514" s="56" t="s">
        <v>67</v>
      </c>
      <c r="C514" s="56" t="s">
        <v>990</v>
      </c>
      <c r="D514" s="170" t="s">
        <v>1479</v>
      </c>
      <c r="E514" s="171"/>
      <c r="F514" s="171"/>
      <c r="G514" s="56" t="s">
        <v>1633</v>
      </c>
      <c r="H514" s="65">
        <v>100</v>
      </c>
      <c r="I514" s="65">
        <v>21.4</v>
      </c>
      <c r="J514" s="65">
        <f t="shared" si="306"/>
        <v>2140</v>
      </c>
      <c r="K514" s="65">
        <f t="shared" si="307"/>
        <v>0</v>
      </c>
      <c r="L514" s="65">
        <f t="shared" si="308"/>
        <v>2140</v>
      </c>
      <c r="M514" s="74"/>
      <c r="N514" s="19"/>
      <c r="Z514" s="35">
        <f t="shared" si="309"/>
        <v>0</v>
      </c>
      <c r="AB514" s="35">
        <f t="shared" si="310"/>
        <v>2140</v>
      </c>
      <c r="AC514" s="35">
        <f t="shared" si="311"/>
        <v>0</v>
      </c>
      <c r="AD514" s="35">
        <f t="shared" si="312"/>
        <v>0</v>
      </c>
      <c r="AE514" s="35">
        <f t="shared" si="313"/>
        <v>0</v>
      </c>
      <c r="AF514" s="35">
        <f t="shared" si="314"/>
        <v>0</v>
      </c>
      <c r="AG514" s="35">
        <f t="shared" si="315"/>
        <v>0</v>
      </c>
      <c r="AH514" s="35">
        <f t="shared" si="316"/>
        <v>0</v>
      </c>
      <c r="AI514" s="77" t="s">
        <v>67</v>
      </c>
      <c r="AJ514" s="65">
        <f t="shared" si="317"/>
        <v>0</v>
      </c>
      <c r="AK514" s="65">
        <f t="shared" si="318"/>
        <v>0</v>
      </c>
      <c r="AL514" s="65">
        <f t="shared" si="319"/>
        <v>2140</v>
      </c>
      <c r="AN514" s="35">
        <v>21</v>
      </c>
      <c r="AO514" s="35">
        <f t="shared" si="330"/>
        <v>21.4</v>
      </c>
      <c r="AP514" s="35">
        <f t="shared" si="331"/>
        <v>0</v>
      </c>
      <c r="AQ514" s="79" t="s">
        <v>109</v>
      </c>
      <c r="AV514" s="35">
        <f t="shared" si="322"/>
        <v>2140</v>
      </c>
      <c r="AW514" s="35">
        <f t="shared" si="323"/>
        <v>2140</v>
      </c>
      <c r="AX514" s="35">
        <f t="shared" si="324"/>
        <v>0</v>
      </c>
      <c r="AY514" s="80" t="s">
        <v>1700</v>
      </c>
      <c r="AZ514" s="80" t="s">
        <v>1749</v>
      </c>
      <c r="BA514" s="77" t="s">
        <v>1780</v>
      </c>
      <c r="BC514" s="35">
        <f t="shared" si="325"/>
        <v>2140</v>
      </c>
      <c r="BD514" s="35">
        <f t="shared" si="326"/>
        <v>21.4</v>
      </c>
      <c r="BE514" s="35">
        <v>0</v>
      </c>
      <c r="BF514" s="35">
        <f>514</f>
        <v>514</v>
      </c>
      <c r="BH514" s="65">
        <f t="shared" si="327"/>
        <v>2140</v>
      </c>
      <c r="BI514" s="65">
        <f t="shared" si="328"/>
        <v>0</v>
      </c>
      <c r="BJ514" s="65">
        <f t="shared" si="329"/>
        <v>2140</v>
      </c>
      <c r="BK514" s="65" t="s">
        <v>1642</v>
      </c>
      <c r="BL514" s="35" t="s">
        <v>161</v>
      </c>
    </row>
    <row r="515" spans="1:64">
      <c r="A515" s="48" t="s">
        <v>535</v>
      </c>
      <c r="B515" s="56" t="s">
        <v>67</v>
      </c>
      <c r="C515" s="56" t="s">
        <v>991</v>
      </c>
      <c r="D515" s="170" t="s">
        <v>1480</v>
      </c>
      <c r="E515" s="171"/>
      <c r="F515" s="171"/>
      <c r="G515" s="56" t="s">
        <v>1633</v>
      </c>
      <c r="H515" s="65">
        <v>140</v>
      </c>
      <c r="I515" s="65">
        <v>21.5</v>
      </c>
      <c r="J515" s="65">
        <f t="shared" si="306"/>
        <v>3010</v>
      </c>
      <c r="K515" s="65">
        <f t="shared" si="307"/>
        <v>0</v>
      </c>
      <c r="L515" s="65">
        <f t="shared" si="308"/>
        <v>3010</v>
      </c>
      <c r="M515" s="74"/>
      <c r="N515" s="19"/>
      <c r="Z515" s="35">
        <f t="shared" si="309"/>
        <v>0</v>
      </c>
      <c r="AB515" s="35">
        <f t="shared" si="310"/>
        <v>3010</v>
      </c>
      <c r="AC515" s="35">
        <f t="shared" si="311"/>
        <v>0</v>
      </c>
      <c r="AD515" s="35">
        <f t="shared" si="312"/>
        <v>0</v>
      </c>
      <c r="AE515" s="35">
        <f t="shared" si="313"/>
        <v>0</v>
      </c>
      <c r="AF515" s="35">
        <f t="shared" si="314"/>
        <v>0</v>
      </c>
      <c r="AG515" s="35">
        <f t="shared" si="315"/>
        <v>0</v>
      </c>
      <c r="AH515" s="35">
        <f t="shared" si="316"/>
        <v>0</v>
      </c>
      <c r="AI515" s="77" t="s">
        <v>67</v>
      </c>
      <c r="AJ515" s="65">
        <f t="shared" si="317"/>
        <v>0</v>
      </c>
      <c r="AK515" s="65">
        <f t="shared" si="318"/>
        <v>0</v>
      </c>
      <c r="AL515" s="65">
        <f t="shared" si="319"/>
        <v>3010</v>
      </c>
      <c r="AN515" s="35">
        <v>21</v>
      </c>
      <c r="AO515" s="35">
        <f t="shared" si="330"/>
        <v>21.5</v>
      </c>
      <c r="AP515" s="35">
        <f t="shared" si="331"/>
        <v>0</v>
      </c>
      <c r="AQ515" s="79" t="s">
        <v>109</v>
      </c>
      <c r="AV515" s="35">
        <f t="shared" si="322"/>
        <v>3010</v>
      </c>
      <c r="AW515" s="35">
        <f t="shared" si="323"/>
        <v>3010</v>
      </c>
      <c r="AX515" s="35">
        <f t="shared" si="324"/>
        <v>0</v>
      </c>
      <c r="AY515" s="80" t="s">
        <v>1700</v>
      </c>
      <c r="AZ515" s="80" t="s">
        <v>1749</v>
      </c>
      <c r="BA515" s="77" t="s">
        <v>1780</v>
      </c>
      <c r="BC515" s="35">
        <f t="shared" si="325"/>
        <v>3010</v>
      </c>
      <c r="BD515" s="35">
        <f t="shared" si="326"/>
        <v>21.5</v>
      </c>
      <c r="BE515" s="35">
        <v>0</v>
      </c>
      <c r="BF515" s="35">
        <f>515</f>
        <v>515</v>
      </c>
      <c r="BH515" s="65">
        <f t="shared" si="327"/>
        <v>3010</v>
      </c>
      <c r="BI515" s="65">
        <f t="shared" si="328"/>
        <v>0</v>
      </c>
      <c r="BJ515" s="65">
        <f t="shared" si="329"/>
        <v>3010</v>
      </c>
      <c r="BK515" s="65" t="s">
        <v>1642</v>
      </c>
      <c r="BL515" s="35" t="s">
        <v>161</v>
      </c>
    </row>
    <row r="516" spans="1:64">
      <c r="A516" s="47" t="s">
        <v>536</v>
      </c>
      <c r="B516" s="55" t="s">
        <v>67</v>
      </c>
      <c r="C516" s="55" t="s">
        <v>963</v>
      </c>
      <c r="D516" s="165" t="s">
        <v>1481</v>
      </c>
      <c r="E516" s="166"/>
      <c r="F516" s="166"/>
      <c r="G516" s="55" t="s">
        <v>1636</v>
      </c>
      <c r="H516" s="64">
        <v>8</v>
      </c>
      <c r="I516" s="64">
        <v>6750</v>
      </c>
      <c r="J516" s="64">
        <f t="shared" si="306"/>
        <v>54000</v>
      </c>
      <c r="K516" s="64">
        <f t="shared" si="307"/>
        <v>0</v>
      </c>
      <c r="L516" s="64">
        <f t="shared" si="308"/>
        <v>54000</v>
      </c>
      <c r="M516" s="73"/>
      <c r="N516" s="19"/>
      <c r="Z516" s="35">
        <f t="shared" si="309"/>
        <v>0</v>
      </c>
      <c r="AB516" s="35">
        <f t="shared" si="310"/>
        <v>54000</v>
      </c>
      <c r="AC516" s="35">
        <f t="shared" si="311"/>
        <v>0</v>
      </c>
      <c r="AD516" s="35">
        <f t="shared" si="312"/>
        <v>0</v>
      </c>
      <c r="AE516" s="35">
        <f t="shared" si="313"/>
        <v>0</v>
      </c>
      <c r="AF516" s="35">
        <f t="shared" si="314"/>
        <v>0</v>
      </c>
      <c r="AG516" s="35">
        <f t="shared" si="315"/>
        <v>0</v>
      </c>
      <c r="AH516" s="35">
        <f t="shared" si="316"/>
        <v>0</v>
      </c>
      <c r="AI516" s="77" t="s">
        <v>67</v>
      </c>
      <c r="AJ516" s="64">
        <f t="shared" si="317"/>
        <v>0</v>
      </c>
      <c r="AK516" s="64">
        <f t="shared" si="318"/>
        <v>0</v>
      </c>
      <c r="AL516" s="64">
        <f t="shared" si="319"/>
        <v>54000</v>
      </c>
      <c r="AN516" s="35">
        <v>21</v>
      </c>
      <c r="AO516" s="35">
        <f t="shared" si="330"/>
        <v>6750</v>
      </c>
      <c r="AP516" s="35">
        <f t="shared" si="331"/>
        <v>0</v>
      </c>
      <c r="AQ516" s="78" t="s">
        <v>109</v>
      </c>
      <c r="AV516" s="35">
        <f t="shared" si="322"/>
        <v>54000</v>
      </c>
      <c r="AW516" s="35">
        <f t="shared" si="323"/>
        <v>54000</v>
      </c>
      <c r="AX516" s="35">
        <f t="shared" si="324"/>
        <v>0</v>
      </c>
      <c r="AY516" s="80" t="s">
        <v>1700</v>
      </c>
      <c r="AZ516" s="80" t="s">
        <v>1749</v>
      </c>
      <c r="BA516" s="77" t="s">
        <v>1780</v>
      </c>
      <c r="BC516" s="35">
        <f t="shared" si="325"/>
        <v>54000</v>
      </c>
      <c r="BD516" s="35">
        <f t="shared" si="326"/>
        <v>6750</v>
      </c>
      <c r="BE516" s="35">
        <v>0</v>
      </c>
      <c r="BF516" s="35">
        <f>516</f>
        <v>516</v>
      </c>
      <c r="BH516" s="64">
        <f t="shared" si="327"/>
        <v>54000</v>
      </c>
      <c r="BI516" s="64">
        <f t="shared" si="328"/>
        <v>0</v>
      </c>
      <c r="BJ516" s="64">
        <f t="shared" si="329"/>
        <v>54000</v>
      </c>
      <c r="BK516" s="64" t="s">
        <v>1790</v>
      </c>
      <c r="BL516" s="35" t="s">
        <v>161</v>
      </c>
    </row>
    <row r="517" spans="1:64">
      <c r="A517" s="47" t="s">
        <v>537</v>
      </c>
      <c r="B517" s="55" t="s">
        <v>67</v>
      </c>
      <c r="C517" s="55" t="s">
        <v>963</v>
      </c>
      <c r="D517" s="165" t="s">
        <v>1482</v>
      </c>
      <c r="E517" s="166"/>
      <c r="F517" s="166"/>
      <c r="G517" s="55" t="s">
        <v>1636</v>
      </c>
      <c r="H517" s="64">
        <v>10</v>
      </c>
      <c r="I517" s="64">
        <v>875</v>
      </c>
      <c r="J517" s="64">
        <f t="shared" si="306"/>
        <v>8750</v>
      </c>
      <c r="K517" s="64">
        <f t="shared" si="307"/>
        <v>0</v>
      </c>
      <c r="L517" s="64">
        <f t="shared" si="308"/>
        <v>8750</v>
      </c>
      <c r="M517" s="73"/>
      <c r="N517" s="19"/>
      <c r="Z517" s="35">
        <f t="shared" si="309"/>
        <v>0</v>
      </c>
      <c r="AB517" s="35">
        <f t="shared" si="310"/>
        <v>8750</v>
      </c>
      <c r="AC517" s="35">
        <f t="shared" si="311"/>
        <v>0</v>
      </c>
      <c r="AD517" s="35">
        <f t="shared" si="312"/>
        <v>0</v>
      </c>
      <c r="AE517" s="35">
        <f t="shared" si="313"/>
        <v>0</v>
      </c>
      <c r="AF517" s="35">
        <f t="shared" si="314"/>
        <v>0</v>
      </c>
      <c r="AG517" s="35">
        <f t="shared" si="315"/>
        <v>0</v>
      </c>
      <c r="AH517" s="35">
        <f t="shared" si="316"/>
        <v>0</v>
      </c>
      <c r="AI517" s="77" t="s">
        <v>67</v>
      </c>
      <c r="AJ517" s="64">
        <f t="shared" si="317"/>
        <v>0</v>
      </c>
      <c r="AK517" s="64">
        <f t="shared" si="318"/>
        <v>0</v>
      </c>
      <c r="AL517" s="64">
        <f t="shared" si="319"/>
        <v>8750</v>
      </c>
      <c r="AN517" s="35">
        <v>21</v>
      </c>
      <c r="AO517" s="35">
        <f t="shared" si="330"/>
        <v>875</v>
      </c>
      <c r="AP517" s="35">
        <f t="shared" si="331"/>
        <v>0</v>
      </c>
      <c r="AQ517" s="78" t="s">
        <v>109</v>
      </c>
      <c r="AV517" s="35">
        <f t="shared" si="322"/>
        <v>8750</v>
      </c>
      <c r="AW517" s="35">
        <f t="shared" si="323"/>
        <v>8750</v>
      </c>
      <c r="AX517" s="35">
        <f t="shared" si="324"/>
        <v>0</v>
      </c>
      <c r="AY517" s="80" t="s">
        <v>1700</v>
      </c>
      <c r="AZ517" s="80" t="s">
        <v>1749</v>
      </c>
      <c r="BA517" s="77" t="s">
        <v>1780</v>
      </c>
      <c r="BC517" s="35">
        <f t="shared" si="325"/>
        <v>8750</v>
      </c>
      <c r="BD517" s="35">
        <f t="shared" si="326"/>
        <v>875</v>
      </c>
      <c r="BE517" s="35">
        <v>0</v>
      </c>
      <c r="BF517" s="35">
        <f>517</f>
        <v>517</v>
      </c>
      <c r="BH517" s="64">
        <f t="shared" si="327"/>
        <v>8750</v>
      </c>
      <c r="BI517" s="64">
        <f t="shared" si="328"/>
        <v>0</v>
      </c>
      <c r="BJ517" s="64">
        <f t="shared" si="329"/>
        <v>8750</v>
      </c>
      <c r="BK517" s="64" t="s">
        <v>1790</v>
      </c>
      <c r="BL517" s="35" t="s">
        <v>161</v>
      </c>
    </row>
    <row r="518" spans="1:64">
      <c r="A518" s="47" t="s">
        <v>538</v>
      </c>
      <c r="B518" s="55" t="s">
        <v>67</v>
      </c>
      <c r="C518" s="55" t="s">
        <v>963</v>
      </c>
      <c r="D518" s="165" t="s">
        <v>1483</v>
      </c>
      <c r="E518" s="166"/>
      <c r="F518" s="166"/>
      <c r="G518" s="55" t="s">
        <v>1633</v>
      </c>
      <c r="H518" s="64">
        <v>25</v>
      </c>
      <c r="I518" s="64">
        <v>7.5</v>
      </c>
      <c r="J518" s="64">
        <f t="shared" si="306"/>
        <v>187.5</v>
      </c>
      <c r="K518" s="64">
        <f t="shared" si="307"/>
        <v>0</v>
      </c>
      <c r="L518" s="64">
        <f t="shared" si="308"/>
        <v>187.5</v>
      </c>
      <c r="M518" s="73"/>
      <c r="N518" s="19"/>
      <c r="Z518" s="35">
        <f t="shared" si="309"/>
        <v>0</v>
      </c>
      <c r="AB518" s="35">
        <f t="shared" si="310"/>
        <v>187.5</v>
      </c>
      <c r="AC518" s="35">
        <f t="shared" si="311"/>
        <v>0</v>
      </c>
      <c r="AD518" s="35">
        <f t="shared" si="312"/>
        <v>0</v>
      </c>
      <c r="AE518" s="35">
        <f t="shared" si="313"/>
        <v>0</v>
      </c>
      <c r="AF518" s="35">
        <f t="shared" si="314"/>
        <v>0</v>
      </c>
      <c r="AG518" s="35">
        <f t="shared" si="315"/>
        <v>0</v>
      </c>
      <c r="AH518" s="35">
        <f t="shared" si="316"/>
        <v>0</v>
      </c>
      <c r="AI518" s="77" t="s">
        <v>67</v>
      </c>
      <c r="AJ518" s="64">
        <f t="shared" si="317"/>
        <v>0</v>
      </c>
      <c r="AK518" s="64">
        <f t="shared" si="318"/>
        <v>0</v>
      </c>
      <c r="AL518" s="64">
        <f t="shared" si="319"/>
        <v>187.5</v>
      </c>
      <c r="AN518" s="35">
        <v>21</v>
      </c>
      <c r="AO518" s="35">
        <f t="shared" si="330"/>
        <v>7.5</v>
      </c>
      <c r="AP518" s="35">
        <f t="shared" si="331"/>
        <v>0</v>
      </c>
      <c r="AQ518" s="78" t="s">
        <v>109</v>
      </c>
      <c r="AV518" s="35">
        <f t="shared" si="322"/>
        <v>187.5</v>
      </c>
      <c r="AW518" s="35">
        <f t="shared" si="323"/>
        <v>187.5</v>
      </c>
      <c r="AX518" s="35">
        <f t="shared" si="324"/>
        <v>0</v>
      </c>
      <c r="AY518" s="80" t="s">
        <v>1700</v>
      </c>
      <c r="AZ518" s="80" t="s">
        <v>1749</v>
      </c>
      <c r="BA518" s="77" t="s">
        <v>1780</v>
      </c>
      <c r="BC518" s="35">
        <f t="shared" si="325"/>
        <v>187.5</v>
      </c>
      <c r="BD518" s="35">
        <f t="shared" si="326"/>
        <v>7.5</v>
      </c>
      <c r="BE518" s="35">
        <v>0</v>
      </c>
      <c r="BF518" s="35">
        <f>518</f>
        <v>518</v>
      </c>
      <c r="BH518" s="64">
        <f t="shared" si="327"/>
        <v>187.5</v>
      </c>
      <c r="BI518" s="64">
        <f t="shared" si="328"/>
        <v>0</v>
      </c>
      <c r="BJ518" s="64">
        <f t="shared" si="329"/>
        <v>187.5</v>
      </c>
      <c r="BK518" s="64" t="s">
        <v>1790</v>
      </c>
      <c r="BL518" s="35" t="s">
        <v>161</v>
      </c>
    </row>
    <row r="519" spans="1:64">
      <c r="A519" s="47" t="s">
        <v>539</v>
      </c>
      <c r="B519" s="55" t="s">
        <v>67</v>
      </c>
      <c r="C519" s="55" t="s">
        <v>963</v>
      </c>
      <c r="D519" s="165" t="s">
        <v>1484</v>
      </c>
      <c r="E519" s="166"/>
      <c r="F519" s="166"/>
      <c r="G519" s="55" t="s">
        <v>1631</v>
      </c>
      <c r="H519" s="64">
        <v>5</v>
      </c>
      <c r="I519" s="64">
        <v>345</v>
      </c>
      <c r="J519" s="64">
        <f t="shared" si="306"/>
        <v>1725</v>
      </c>
      <c r="K519" s="64">
        <f t="shared" si="307"/>
        <v>0</v>
      </c>
      <c r="L519" s="64">
        <f t="shared" si="308"/>
        <v>1725</v>
      </c>
      <c r="M519" s="73"/>
      <c r="N519" s="19"/>
      <c r="Z519" s="35">
        <f t="shared" si="309"/>
        <v>0</v>
      </c>
      <c r="AB519" s="35">
        <f t="shared" si="310"/>
        <v>1725</v>
      </c>
      <c r="AC519" s="35">
        <f t="shared" si="311"/>
        <v>0</v>
      </c>
      <c r="AD519" s="35">
        <f t="shared" si="312"/>
        <v>0</v>
      </c>
      <c r="AE519" s="35">
        <f t="shared" si="313"/>
        <v>0</v>
      </c>
      <c r="AF519" s="35">
        <f t="shared" si="314"/>
        <v>0</v>
      </c>
      <c r="AG519" s="35">
        <f t="shared" si="315"/>
        <v>0</v>
      </c>
      <c r="AH519" s="35">
        <f t="shared" si="316"/>
        <v>0</v>
      </c>
      <c r="AI519" s="77" t="s">
        <v>67</v>
      </c>
      <c r="AJ519" s="64">
        <f t="shared" si="317"/>
        <v>0</v>
      </c>
      <c r="AK519" s="64">
        <f t="shared" si="318"/>
        <v>0</v>
      </c>
      <c r="AL519" s="64">
        <f t="shared" si="319"/>
        <v>1725</v>
      </c>
      <c r="AN519" s="35">
        <v>21</v>
      </c>
      <c r="AO519" s="35">
        <f t="shared" si="330"/>
        <v>345</v>
      </c>
      <c r="AP519" s="35">
        <f t="shared" si="331"/>
        <v>0</v>
      </c>
      <c r="AQ519" s="78" t="s">
        <v>109</v>
      </c>
      <c r="AV519" s="35">
        <f t="shared" si="322"/>
        <v>1725</v>
      </c>
      <c r="AW519" s="35">
        <f t="shared" si="323"/>
        <v>1725</v>
      </c>
      <c r="AX519" s="35">
        <f t="shared" si="324"/>
        <v>0</v>
      </c>
      <c r="AY519" s="80" t="s">
        <v>1700</v>
      </c>
      <c r="AZ519" s="80" t="s">
        <v>1749</v>
      </c>
      <c r="BA519" s="77" t="s">
        <v>1780</v>
      </c>
      <c r="BC519" s="35">
        <f t="shared" si="325"/>
        <v>1725</v>
      </c>
      <c r="BD519" s="35">
        <f t="shared" si="326"/>
        <v>345</v>
      </c>
      <c r="BE519" s="35">
        <v>0</v>
      </c>
      <c r="BF519" s="35">
        <f>519</f>
        <v>519</v>
      </c>
      <c r="BH519" s="64">
        <f t="shared" si="327"/>
        <v>1725</v>
      </c>
      <c r="BI519" s="64">
        <f t="shared" si="328"/>
        <v>0</v>
      </c>
      <c r="BJ519" s="64">
        <f t="shared" si="329"/>
        <v>1725</v>
      </c>
      <c r="BK519" s="64" t="s">
        <v>1790</v>
      </c>
      <c r="BL519" s="35" t="s">
        <v>161</v>
      </c>
    </row>
    <row r="520" spans="1:64">
      <c r="A520" s="46"/>
      <c r="B520" s="54" t="s">
        <v>67</v>
      </c>
      <c r="C520" s="54" t="s">
        <v>162</v>
      </c>
      <c r="D520" s="163" t="s">
        <v>212</v>
      </c>
      <c r="E520" s="164"/>
      <c r="F520" s="164"/>
      <c r="G520" s="61" t="s">
        <v>57</v>
      </c>
      <c r="H520" s="61" t="s">
        <v>57</v>
      </c>
      <c r="I520" s="61" t="s">
        <v>57</v>
      </c>
      <c r="J520" s="83">
        <f>SUM(J521:J522)</f>
        <v>0</v>
      </c>
      <c r="K520" s="83">
        <f>SUM(K521:K522)</f>
        <v>2032</v>
      </c>
      <c r="L520" s="83">
        <f>SUM(L521:L522)</f>
        <v>2032</v>
      </c>
      <c r="M520" s="72"/>
      <c r="N520" s="19"/>
      <c r="AI520" s="77" t="s">
        <v>67</v>
      </c>
      <c r="AS520" s="83">
        <f>SUM(AJ521:AJ522)</f>
        <v>0</v>
      </c>
      <c r="AT520" s="83">
        <f>SUM(AK521:AK522)</f>
        <v>0</v>
      </c>
      <c r="AU520" s="83">
        <f>SUM(AL521:AL522)</f>
        <v>2032</v>
      </c>
    </row>
    <row r="521" spans="1:64">
      <c r="A521" s="47" t="s">
        <v>540</v>
      </c>
      <c r="B521" s="55" t="s">
        <v>67</v>
      </c>
      <c r="C521" s="55" t="s">
        <v>983</v>
      </c>
      <c r="D521" s="165" t="s">
        <v>1467</v>
      </c>
      <c r="E521" s="166"/>
      <c r="F521" s="166"/>
      <c r="G521" s="55" t="s">
        <v>1631</v>
      </c>
      <c r="H521" s="64">
        <v>6</v>
      </c>
      <c r="I521" s="64">
        <v>108</v>
      </c>
      <c r="J521" s="64">
        <f>H521*AO521</f>
        <v>0</v>
      </c>
      <c r="K521" s="64">
        <f>H521*AP521</f>
        <v>648</v>
      </c>
      <c r="L521" s="64">
        <f>H521*I521</f>
        <v>648</v>
      </c>
      <c r="M521" s="73"/>
      <c r="N521" s="19"/>
      <c r="Z521" s="35">
        <f>IF(AQ521="5",BJ521,0)</f>
        <v>0</v>
      </c>
      <c r="AB521" s="35">
        <f>IF(AQ521="1",BH521,0)</f>
        <v>0</v>
      </c>
      <c r="AC521" s="35">
        <f>IF(AQ521="1",BI521,0)</f>
        <v>0</v>
      </c>
      <c r="AD521" s="35">
        <f>IF(AQ521="7",BH521,0)</f>
        <v>0</v>
      </c>
      <c r="AE521" s="35">
        <f>IF(AQ521="7",BI521,0)</f>
        <v>0</v>
      </c>
      <c r="AF521" s="35">
        <f>IF(AQ521="2",BH521,0)</f>
        <v>0</v>
      </c>
      <c r="AG521" s="35">
        <f>IF(AQ521="2",BI521,0)</f>
        <v>648</v>
      </c>
      <c r="AH521" s="35">
        <f>IF(AQ521="0",BJ521,0)</f>
        <v>0</v>
      </c>
      <c r="AI521" s="77" t="s">
        <v>67</v>
      </c>
      <c r="AJ521" s="64">
        <f>IF(AN521=0,L521,0)</f>
        <v>0</v>
      </c>
      <c r="AK521" s="64">
        <f>IF(AN521=15,L521,0)</f>
        <v>0</v>
      </c>
      <c r="AL521" s="64">
        <f>IF(AN521=21,L521,0)</f>
        <v>648</v>
      </c>
      <c r="AN521" s="35">
        <v>21</v>
      </c>
      <c r="AO521" s="35">
        <f>I521*0</f>
        <v>0</v>
      </c>
      <c r="AP521" s="35">
        <f>I521*(1-0)</f>
        <v>108</v>
      </c>
      <c r="AQ521" s="78" t="s">
        <v>110</v>
      </c>
      <c r="AV521" s="35">
        <f>AW521+AX521</f>
        <v>648</v>
      </c>
      <c r="AW521" s="35">
        <f>H521*AO521</f>
        <v>0</v>
      </c>
      <c r="AX521" s="35">
        <f>H521*AP521</f>
        <v>648</v>
      </c>
      <c r="AY521" s="80" t="s">
        <v>1701</v>
      </c>
      <c r="AZ521" s="80" t="s">
        <v>1749</v>
      </c>
      <c r="BA521" s="77" t="s">
        <v>1780</v>
      </c>
      <c r="BC521" s="35">
        <f>AW521+AX521</f>
        <v>648</v>
      </c>
      <c r="BD521" s="35">
        <f>I521/(100-BE521)*100</f>
        <v>108</v>
      </c>
      <c r="BE521" s="35">
        <v>0</v>
      </c>
      <c r="BF521" s="35">
        <f>521</f>
        <v>521</v>
      </c>
      <c r="BH521" s="64">
        <f>H521*AO521</f>
        <v>0</v>
      </c>
      <c r="BI521" s="64">
        <f>H521*AP521</f>
        <v>648</v>
      </c>
      <c r="BJ521" s="64">
        <f>H521*I521</f>
        <v>648</v>
      </c>
      <c r="BK521" s="64" t="s">
        <v>1790</v>
      </c>
      <c r="BL521" s="35" t="s">
        <v>162</v>
      </c>
    </row>
    <row r="522" spans="1:64">
      <c r="A522" s="47" t="s">
        <v>541</v>
      </c>
      <c r="B522" s="55" t="s">
        <v>67</v>
      </c>
      <c r="C522" s="55" t="s">
        <v>984</v>
      </c>
      <c r="D522" s="165" t="s">
        <v>1468</v>
      </c>
      <c r="E522" s="166"/>
      <c r="F522" s="166"/>
      <c r="G522" s="55" t="s">
        <v>1631</v>
      </c>
      <c r="H522" s="64">
        <v>8</v>
      </c>
      <c r="I522" s="64">
        <v>173</v>
      </c>
      <c r="J522" s="64">
        <f>H522*AO522</f>
        <v>0</v>
      </c>
      <c r="K522" s="64">
        <f>H522*AP522</f>
        <v>1384</v>
      </c>
      <c r="L522" s="64">
        <f>H522*I522</f>
        <v>1384</v>
      </c>
      <c r="M522" s="73"/>
      <c r="N522" s="19"/>
      <c r="Z522" s="35">
        <f>IF(AQ522="5",BJ522,0)</f>
        <v>0</v>
      </c>
      <c r="AB522" s="35">
        <f>IF(AQ522="1",BH522,0)</f>
        <v>0</v>
      </c>
      <c r="AC522" s="35">
        <f>IF(AQ522="1",BI522,0)</f>
        <v>0</v>
      </c>
      <c r="AD522" s="35">
        <f>IF(AQ522="7",BH522,0)</f>
        <v>0</v>
      </c>
      <c r="AE522" s="35">
        <f>IF(AQ522="7",BI522,0)</f>
        <v>0</v>
      </c>
      <c r="AF522" s="35">
        <f>IF(AQ522="2",BH522,0)</f>
        <v>0</v>
      </c>
      <c r="AG522" s="35">
        <f>IF(AQ522="2",BI522,0)</f>
        <v>1384</v>
      </c>
      <c r="AH522" s="35">
        <f>IF(AQ522="0",BJ522,0)</f>
        <v>0</v>
      </c>
      <c r="AI522" s="77" t="s">
        <v>67</v>
      </c>
      <c r="AJ522" s="64">
        <f>IF(AN522=0,L522,0)</f>
        <v>0</v>
      </c>
      <c r="AK522" s="64">
        <f>IF(AN522=15,L522,0)</f>
        <v>0</v>
      </c>
      <c r="AL522" s="64">
        <f>IF(AN522=21,L522,0)</f>
        <v>1384</v>
      </c>
      <c r="AN522" s="35">
        <v>21</v>
      </c>
      <c r="AO522" s="35">
        <f>I522*0</f>
        <v>0</v>
      </c>
      <c r="AP522" s="35">
        <f>I522*(1-0)</f>
        <v>173</v>
      </c>
      <c r="AQ522" s="78" t="s">
        <v>110</v>
      </c>
      <c r="AV522" s="35">
        <f>AW522+AX522</f>
        <v>1384</v>
      </c>
      <c r="AW522" s="35">
        <f>H522*AO522</f>
        <v>0</v>
      </c>
      <c r="AX522" s="35">
        <f>H522*AP522</f>
        <v>1384</v>
      </c>
      <c r="AY522" s="80" t="s">
        <v>1701</v>
      </c>
      <c r="AZ522" s="80" t="s">
        <v>1749</v>
      </c>
      <c r="BA522" s="77" t="s">
        <v>1780</v>
      </c>
      <c r="BC522" s="35">
        <f>AW522+AX522</f>
        <v>1384</v>
      </c>
      <c r="BD522" s="35">
        <f>I522/(100-BE522)*100</f>
        <v>173</v>
      </c>
      <c r="BE522" s="35">
        <v>0</v>
      </c>
      <c r="BF522" s="35">
        <f>522</f>
        <v>522</v>
      </c>
      <c r="BH522" s="64">
        <f>H522*AO522</f>
        <v>0</v>
      </c>
      <c r="BI522" s="64">
        <f>H522*AP522</f>
        <v>1384</v>
      </c>
      <c r="BJ522" s="64">
        <f>H522*I522</f>
        <v>1384</v>
      </c>
      <c r="BK522" s="64" t="s">
        <v>1790</v>
      </c>
      <c r="BL522" s="35" t="s">
        <v>162</v>
      </c>
    </row>
    <row r="523" spans="1:64">
      <c r="A523" s="49"/>
      <c r="B523" s="57" t="s">
        <v>68</v>
      </c>
      <c r="C523" s="57"/>
      <c r="D523" s="172" t="s">
        <v>84</v>
      </c>
      <c r="E523" s="173"/>
      <c r="F523" s="173"/>
      <c r="G523" s="62" t="s">
        <v>57</v>
      </c>
      <c r="H523" s="62" t="s">
        <v>57</v>
      </c>
      <c r="I523" s="62" t="s">
        <v>57</v>
      </c>
      <c r="J523" s="84">
        <f>J524+J527</f>
        <v>80</v>
      </c>
      <c r="K523" s="84">
        <f>K524+K527</f>
        <v>249.70804000000001</v>
      </c>
      <c r="L523" s="84">
        <f>L524+L527</f>
        <v>329.70804000000004</v>
      </c>
      <c r="M523" s="75"/>
      <c r="N523" s="19"/>
    </row>
    <row r="524" spans="1:64">
      <c r="A524" s="46"/>
      <c r="B524" s="54" t="s">
        <v>68</v>
      </c>
      <c r="C524" s="54" t="s">
        <v>145</v>
      </c>
      <c r="D524" s="163" t="s">
        <v>196</v>
      </c>
      <c r="E524" s="164"/>
      <c r="F524" s="164"/>
      <c r="G524" s="61" t="s">
        <v>57</v>
      </c>
      <c r="H524" s="61" t="s">
        <v>57</v>
      </c>
      <c r="I524" s="61" t="s">
        <v>57</v>
      </c>
      <c r="J524" s="83">
        <f>SUM(J525:J526)</f>
        <v>0</v>
      </c>
      <c r="K524" s="83">
        <f>SUM(K525:K526)</f>
        <v>0.90803999999999996</v>
      </c>
      <c r="L524" s="83">
        <f>SUM(L525:L526)</f>
        <v>0.90803999999999996</v>
      </c>
      <c r="M524" s="72"/>
      <c r="N524" s="19"/>
      <c r="AI524" s="77" t="s">
        <v>68</v>
      </c>
      <c r="AS524" s="83">
        <f>SUM(AJ525:AJ526)</f>
        <v>0</v>
      </c>
      <c r="AT524" s="83">
        <f>SUM(AK525:AK526)</f>
        <v>0</v>
      </c>
      <c r="AU524" s="83">
        <f>SUM(AL525:AL526)</f>
        <v>0.90803999999999996</v>
      </c>
    </row>
    <row r="525" spans="1:64">
      <c r="A525" s="47" t="s">
        <v>542</v>
      </c>
      <c r="B525" s="55" t="s">
        <v>68</v>
      </c>
      <c r="C525" s="55" t="s">
        <v>802</v>
      </c>
      <c r="D525" s="165" t="s">
        <v>1206</v>
      </c>
      <c r="E525" s="166"/>
      <c r="F525" s="166"/>
      <c r="G525" s="55" t="s">
        <v>1634</v>
      </c>
      <c r="H525" s="64">
        <v>2.7599999999999999E-3</v>
      </c>
      <c r="I525" s="64">
        <v>229</v>
      </c>
      <c r="J525" s="64">
        <f>H525*AO525</f>
        <v>0</v>
      </c>
      <c r="K525" s="64">
        <f>H525*AP525</f>
        <v>0.63203999999999994</v>
      </c>
      <c r="L525" s="64">
        <f>H525*I525</f>
        <v>0.63203999999999994</v>
      </c>
      <c r="M525" s="73" t="s">
        <v>1657</v>
      </c>
      <c r="N525" s="19"/>
      <c r="Z525" s="35">
        <f>IF(AQ525="5",BJ525,0)</f>
        <v>0.63203999999999994</v>
      </c>
      <c r="AB525" s="35">
        <f>IF(AQ525="1",BH525,0)</f>
        <v>0</v>
      </c>
      <c r="AC525" s="35">
        <f>IF(AQ525="1",BI525,0)</f>
        <v>0</v>
      </c>
      <c r="AD525" s="35">
        <f>IF(AQ525="7",BH525,0)</f>
        <v>0</v>
      </c>
      <c r="AE525" s="35">
        <f>IF(AQ525="7",BI525,0)</f>
        <v>0</v>
      </c>
      <c r="AF525" s="35">
        <f>IF(AQ525="2",BH525,0)</f>
        <v>0</v>
      </c>
      <c r="AG525" s="35">
        <f>IF(AQ525="2",BI525,0)</f>
        <v>0</v>
      </c>
      <c r="AH525" s="35">
        <f>IF(AQ525="0",BJ525,0)</f>
        <v>0</v>
      </c>
      <c r="AI525" s="77" t="s">
        <v>68</v>
      </c>
      <c r="AJ525" s="64">
        <f>IF(AN525=0,L525,0)</f>
        <v>0</v>
      </c>
      <c r="AK525" s="64">
        <f>IF(AN525=15,L525,0)</f>
        <v>0</v>
      </c>
      <c r="AL525" s="64">
        <f>IF(AN525=21,L525,0)</f>
        <v>0.63203999999999994</v>
      </c>
      <c r="AN525" s="35">
        <v>21</v>
      </c>
      <c r="AO525" s="35">
        <f>I525*0</f>
        <v>0</v>
      </c>
      <c r="AP525" s="35">
        <f>I525*(1-0)</f>
        <v>229</v>
      </c>
      <c r="AQ525" s="78" t="s">
        <v>112</v>
      </c>
      <c r="AV525" s="35">
        <f>AW525+AX525</f>
        <v>0.63203999999999994</v>
      </c>
      <c r="AW525" s="35">
        <f>H525*AO525</f>
        <v>0</v>
      </c>
      <c r="AX525" s="35">
        <f>H525*AP525</f>
        <v>0.63203999999999994</v>
      </c>
      <c r="AY525" s="80" t="s">
        <v>1684</v>
      </c>
      <c r="AZ525" s="80" t="s">
        <v>1750</v>
      </c>
      <c r="BA525" s="77" t="s">
        <v>1781</v>
      </c>
      <c r="BC525" s="35">
        <f>AW525+AX525</f>
        <v>0.63203999999999994</v>
      </c>
      <c r="BD525" s="35">
        <f>I525/(100-BE525)*100</f>
        <v>229</v>
      </c>
      <c r="BE525" s="35">
        <v>0</v>
      </c>
      <c r="BF525" s="35">
        <f>525</f>
        <v>525</v>
      </c>
      <c r="BH525" s="64">
        <f>H525*AO525</f>
        <v>0</v>
      </c>
      <c r="BI525" s="64">
        <f>H525*AP525</f>
        <v>0.63203999999999994</v>
      </c>
      <c r="BJ525" s="64">
        <f>H525*I525</f>
        <v>0.63203999999999994</v>
      </c>
      <c r="BK525" s="64" t="s">
        <v>1790</v>
      </c>
      <c r="BL525" s="35" t="s">
        <v>145</v>
      </c>
    </row>
    <row r="526" spans="1:64">
      <c r="A526" s="47" t="s">
        <v>543</v>
      </c>
      <c r="B526" s="55" t="s">
        <v>68</v>
      </c>
      <c r="C526" s="55" t="s">
        <v>803</v>
      </c>
      <c r="D526" s="165" t="s">
        <v>1207</v>
      </c>
      <c r="E526" s="166"/>
      <c r="F526" s="166"/>
      <c r="G526" s="55" t="s">
        <v>1634</v>
      </c>
      <c r="H526" s="64">
        <v>1.1039999999999999E-2</v>
      </c>
      <c r="I526" s="64">
        <v>25</v>
      </c>
      <c r="J526" s="64">
        <f>H526*AO526</f>
        <v>0</v>
      </c>
      <c r="K526" s="64">
        <f>H526*AP526</f>
        <v>0.27599999999999997</v>
      </c>
      <c r="L526" s="64">
        <f>H526*I526</f>
        <v>0.27599999999999997</v>
      </c>
      <c r="M526" s="73" t="s">
        <v>1657</v>
      </c>
      <c r="N526" s="19"/>
      <c r="Z526" s="35">
        <f>IF(AQ526="5",BJ526,0)</f>
        <v>0.27599999999999997</v>
      </c>
      <c r="AB526" s="35">
        <f>IF(AQ526="1",BH526,0)</f>
        <v>0</v>
      </c>
      <c r="AC526" s="35">
        <f>IF(AQ526="1",BI526,0)</f>
        <v>0</v>
      </c>
      <c r="AD526" s="35">
        <f>IF(AQ526="7",BH526,0)</f>
        <v>0</v>
      </c>
      <c r="AE526" s="35">
        <f>IF(AQ526="7",BI526,0)</f>
        <v>0</v>
      </c>
      <c r="AF526" s="35">
        <f>IF(AQ526="2",BH526,0)</f>
        <v>0</v>
      </c>
      <c r="AG526" s="35">
        <f>IF(AQ526="2",BI526,0)</f>
        <v>0</v>
      </c>
      <c r="AH526" s="35">
        <f>IF(AQ526="0",BJ526,0)</f>
        <v>0</v>
      </c>
      <c r="AI526" s="77" t="s">
        <v>68</v>
      </c>
      <c r="AJ526" s="64">
        <f>IF(AN526=0,L526,0)</f>
        <v>0</v>
      </c>
      <c r="AK526" s="64">
        <f>IF(AN526=15,L526,0)</f>
        <v>0</v>
      </c>
      <c r="AL526" s="64">
        <f>IF(AN526=21,L526,0)</f>
        <v>0.27599999999999997</v>
      </c>
      <c r="AN526" s="35">
        <v>21</v>
      </c>
      <c r="AO526" s="35">
        <f>I526*0</f>
        <v>0</v>
      </c>
      <c r="AP526" s="35">
        <f>I526*(1-0)</f>
        <v>25</v>
      </c>
      <c r="AQ526" s="78" t="s">
        <v>112</v>
      </c>
      <c r="AV526" s="35">
        <f>AW526+AX526</f>
        <v>0.27599999999999997</v>
      </c>
      <c r="AW526" s="35">
        <f>H526*AO526</f>
        <v>0</v>
      </c>
      <c r="AX526" s="35">
        <f>H526*AP526</f>
        <v>0.27599999999999997</v>
      </c>
      <c r="AY526" s="80" t="s">
        <v>1684</v>
      </c>
      <c r="AZ526" s="80" t="s">
        <v>1750</v>
      </c>
      <c r="BA526" s="77" t="s">
        <v>1781</v>
      </c>
      <c r="BC526" s="35">
        <f>AW526+AX526</f>
        <v>0.27599999999999997</v>
      </c>
      <c r="BD526" s="35">
        <f>I526/(100-BE526)*100</f>
        <v>25</v>
      </c>
      <c r="BE526" s="35">
        <v>0</v>
      </c>
      <c r="BF526" s="35">
        <f>526</f>
        <v>526</v>
      </c>
      <c r="BH526" s="64">
        <f>H526*AO526</f>
        <v>0</v>
      </c>
      <c r="BI526" s="64">
        <f>H526*AP526</f>
        <v>0.27599999999999997</v>
      </c>
      <c r="BJ526" s="64">
        <f>H526*I526</f>
        <v>0.27599999999999997</v>
      </c>
      <c r="BK526" s="64" t="s">
        <v>1790</v>
      </c>
      <c r="BL526" s="35" t="s">
        <v>145</v>
      </c>
    </row>
    <row r="527" spans="1:64">
      <c r="A527" s="46"/>
      <c r="B527" s="54" t="s">
        <v>68</v>
      </c>
      <c r="C527" s="54" t="s">
        <v>163</v>
      </c>
      <c r="D527" s="163" t="s">
        <v>213</v>
      </c>
      <c r="E527" s="164"/>
      <c r="F527" s="164"/>
      <c r="G527" s="61" t="s">
        <v>57</v>
      </c>
      <c r="H527" s="61" t="s">
        <v>57</v>
      </c>
      <c r="I527" s="61" t="s">
        <v>57</v>
      </c>
      <c r="J527" s="83">
        <f>SUM(J528:J531)</f>
        <v>80</v>
      </c>
      <c r="K527" s="83">
        <f>SUM(K528:K531)</f>
        <v>248.8</v>
      </c>
      <c r="L527" s="83">
        <f>SUM(L528:L531)</f>
        <v>328.8</v>
      </c>
      <c r="M527" s="72"/>
      <c r="N527" s="19"/>
      <c r="AI527" s="77" t="s">
        <v>68</v>
      </c>
      <c r="AS527" s="83">
        <f>SUM(AJ528:AJ531)</f>
        <v>0</v>
      </c>
      <c r="AT527" s="83">
        <f>SUM(AK528:AK531)</f>
        <v>0</v>
      </c>
      <c r="AU527" s="83">
        <f>SUM(AL528:AL531)</f>
        <v>328.8</v>
      </c>
    </row>
    <row r="528" spans="1:64">
      <c r="A528" s="47" t="s">
        <v>544</v>
      </c>
      <c r="B528" s="55" t="s">
        <v>68</v>
      </c>
      <c r="C528" s="55" t="s">
        <v>992</v>
      </c>
      <c r="D528" s="165" t="s">
        <v>1485</v>
      </c>
      <c r="E528" s="166"/>
      <c r="F528" s="166"/>
      <c r="G528" s="55" t="s">
        <v>1631</v>
      </c>
      <c r="H528" s="64">
        <v>4</v>
      </c>
      <c r="I528" s="64">
        <v>11.1</v>
      </c>
      <c r="J528" s="64">
        <f>H528*AO528</f>
        <v>0</v>
      </c>
      <c r="K528" s="64">
        <f>H528*AP528</f>
        <v>44.4</v>
      </c>
      <c r="L528" s="64">
        <f>H528*I528</f>
        <v>44.4</v>
      </c>
      <c r="M528" s="73" t="s">
        <v>1657</v>
      </c>
      <c r="N528" s="19"/>
      <c r="Z528" s="35">
        <f>IF(AQ528="5",BJ528,0)</f>
        <v>0</v>
      </c>
      <c r="AB528" s="35">
        <f>IF(AQ528="1",BH528,0)</f>
        <v>0</v>
      </c>
      <c r="AC528" s="35">
        <f>IF(AQ528="1",BI528,0)</f>
        <v>0</v>
      </c>
      <c r="AD528" s="35">
        <f>IF(AQ528="7",BH528,0)</f>
        <v>0</v>
      </c>
      <c r="AE528" s="35">
        <f>IF(AQ528="7",BI528,0)</f>
        <v>44.4</v>
      </c>
      <c r="AF528" s="35">
        <f>IF(AQ528="2",BH528,0)</f>
        <v>0</v>
      </c>
      <c r="AG528" s="35">
        <f>IF(AQ528="2",BI528,0)</f>
        <v>0</v>
      </c>
      <c r="AH528" s="35">
        <f>IF(AQ528="0",BJ528,0)</f>
        <v>0</v>
      </c>
      <c r="AI528" s="77" t="s">
        <v>68</v>
      </c>
      <c r="AJ528" s="64">
        <f>IF(AN528=0,L528,0)</f>
        <v>0</v>
      </c>
      <c r="AK528" s="64">
        <f>IF(AN528=15,L528,0)</f>
        <v>0</v>
      </c>
      <c r="AL528" s="64">
        <f>IF(AN528=21,L528,0)</f>
        <v>44.4</v>
      </c>
      <c r="AN528" s="35">
        <v>21</v>
      </c>
      <c r="AO528" s="35">
        <f>I528*0</f>
        <v>0</v>
      </c>
      <c r="AP528" s="35">
        <f>I528*(1-0)</f>
        <v>11.1</v>
      </c>
      <c r="AQ528" s="78" t="s">
        <v>235</v>
      </c>
      <c r="AV528" s="35">
        <f>AW528+AX528</f>
        <v>44.4</v>
      </c>
      <c r="AW528" s="35">
        <f>H528*AO528</f>
        <v>0</v>
      </c>
      <c r="AX528" s="35">
        <f>H528*AP528</f>
        <v>44.4</v>
      </c>
      <c r="AY528" s="80" t="s">
        <v>1702</v>
      </c>
      <c r="AZ528" s="80" t="s">
        <v>1751</v>
      </c>
      <c r="BA528" s="77" t="s">
        <v>1781</v>
      </c>
      <c r="BC528" s="35">
        <f>AW528+AX528</f>
        <v>44.4</v>
      </c>
      <c r="BD528" s="35">
        <f>I528/(100-BE528)*100</f>
        <v>11.1</v>
      </c>
      <c r="BE528" s="35">
        <v>0</v>
      </c>
      <c r="BF528" s="35">
        <f>528</f>
        <v>528</v>
      </c>
      <c r="BH528" s="64">
        <f>H528*AO528</f>
        <v>0</v>
      </c>
      <c r="BI528" s="64">
        <f>H528*AP528</f>
        <v>44.4</v>
      </c>
      <c r="BJ528" s="64">
        <f>H528*I528</f>
        <v>44.4</v>
      </c>
      <c r="BK528" s="64" t="s">
        <v>1790</v>
      </c>
      <c r="BL528" s="35">
        <v>722</v>
      </c>
    </row>
    <row r="529" spans="1:64">
      <c r="A529" s="47" t="s">
        <v>545</v>
      </c>
      <c r="B529" s="55" t="s">
        <v>68</v>
      </c>
      <c r="C529" s="55" t="s">
        <v>993</v>
      </c>
      <c r="D529" s="165" t="s">
        <v>1486</v>
      </c>
      <c r="E529" s="166"/>
      <c r="F529" s="166"/>
      <c r="G529" s="55" t="s">
        <v>1631</v>
      </c>
      <c r="H529" s="64">
        <v>4</v>
      </c>
      <c r="I529" s="64">
        <v>51.1</v>
      </c>
      <c r="J529" s="64">
        <f>H529*AO529</f>
        <v>0</v>
      </c>
      <c r="K529" s="64">
        <f>H529*AP529</f>
        <v>204.4</v>
      </c>
      <c r="L529" s="64">
        <f>H529*I529</f>
        <v>204.4</v>
      </c>
      <c r="M529" s="73" t="s">
        <v>1657</v>
      </c>
      <c r="N529" s="19"/>
      <c r="Z529" s="35">
        <f>IF(AQ529="5",BJ529,0)</f>
        <v>0</v>
      </c>
      <c r="AB529" s="35">
        <f>IF(AQ529="1",BH529,0)</f>
        <v>0</v>
      </c>
      <c r="AC529" s="35">
        <f>IF(AQ529="1",BI529,0)</f>
        <v>0</v>
      </c>
      <c r="AD529" s="35">
        <f>IF(AQ529="7",BH529,0)</f>
        <v>0</v>
      </c>
      <c r="AE529" s="35">
        <f>IF(AQ529="7",BI529,0)</f>
        <v>204.4</v>
      </c>
      <c r="AF529" s="35">
        <f>IF(AQ529="2",BH529,0)</f>
        <v>0</v>
      </c>
      <c r="AG529" s="35">
        <f>IF(AQ529="2",BI529,0)</f>
        <v>0</v>
      </c>
      <c r="AH529" s="35">
        <f>IF(AQ529="0",BJ529,0)</f>
        <v>0</v>
      </c>
      <c r="AI529" s="77" t="s">
        <v>68</v>
      </c>
      <c r="AJ529" s="64">
        <f>IF(AN529=0,L529,0)</f>
        <v>0</v>
      </c>
      <c r="AK529" s="64">
        <f>IF(AN529=15,L529,0)</f>
        <v>0</v>
      </c>
      <c r="AL529" s="64">
        <f>IF(AN529=21,L529,0)</f>
        <v>204.4</v>
      </c>
      <c r="AN529" s="35">
        <v>21</v>
      </c>
      <c r="AO529" s="35">
        <f>I529*0</f>
        <v>0</v>
      </c>
      <c r="AP529" s="35">
        <f>I529*(1-0)</f>
        <v>51.1</v>
      </c>
      <c r="AQ529" s="78" t="s">
        <v>235</v>
      </c>
      <c r="AV529" s="35">
        <f>AW529+AX529</f>
        <v>204.4</v>
      </c>
      <c r="AW529" s="35">
        <f>H529*AO529</f>
        <v>0</v>
      </c>
      <c r="AX529" s="35">
        <f>H529*AP529</f>
        <v>204.4</v>
      </c>
      <c r="AY529" s="80" t="s">
        <v>1702</v>
      </c>
      <c r="AZ529" s="80" t="s">
        <v>1751</v>
      </c>
      <c r="BA529" s="77" t="s">
        <v>1781</v>
      </c>
      <c r="BC529" s="35">
        <f>AW529+AX529</f>
        <v>204.4</v>
      </c>
      <c r="BD529" s="35">
        <f>I529/(100-BE529)*100</f>
        <v>51.1</v>
      </c>
      <c r="BE529" s="35">
        <v>0</v>
      </c>
      <c r="BF529" s="35">
        <f>529</f>
        <v>529</v>
      </c>
      <c r="BH529" s="64">
        <f>H529*AO529</f>
        <v>0</v>
      </c>
      <c r="BI529" s="64">
        <f>H529*AP529</f>
        <v>204.4</v>
      </c>
      <c r="BJ529" s="64">
        <f>H529*I529</f>
        <v>204.4</v>
      </c>
      <c r="BK529" s="64" t="s">
        <v>1790</v>
      </c>
      <c r="BL529" s="35">
        <v>722</v>
      </c>
    </row>
    <row r="530" spans="1:64">
      <c r="A530" s="48" t="s">
        <v>546</v>
      </c>
      <c r="B530" s="56" t="s">
        <v>68</v>
      </c>
      <c r="C530" s="56" t="s">
        <v>994</v>
      </c>
      <c r="D530" s="170" t="s">
        <v>1487</v>
      </c>
      <c r="E530" s="171"/>
      <c r="F530" s="171"/>
      <c r="G530" s="56" t="s">
        <v>1636</v>
      </c>
      <c r="H530" s="65">
        <v>4</v>
      </c>
      <c r="I530" s="65">
        <v>20</v>
      </c>
      <c r="J530" s="65">
        <f>H530*AO530</f>
        <v>80</v>
      </c>
      <c r="K530" s="65">
        <f>H530*AP530</f>
        <v>0</v>
      </c>
      <c r="L530" s="65">
        <f>H530*I530</f>
        <v>80</v>
      </c>
      <c r="M530" s="74"/>
      <c r="N530" s="19"/>
      <c r="Z530" s="35">
        <f>IF(AQ530="5",BJ530,0)</f>
        <v>0</v>
      </c>
      <c r="AB530" s="35">
        <f>IF(AQ530="1",BH530,0)</f>
        <v>0</v>
      </c>
      <c r="AC530" s="35">
        <f>IF(AQ530="1",BI530,0)</f>
        <v>0</v>
      </c>
      <c r="AD530" s="35">
        <f>IF(AQ530="7",BH530,0)</f>
        <v>80</v>
      </c>
      <c r="AE530" s="35">
        <f>IF(AQ530="7",BI530,0)</f>
        <v>0</v>
      </c>
      <c r="AF530" s="35">
        <f>IF(AQ530="2",BH530,0)</f>
        <v>0</v>
      </c>
      <c r="AG530" s="35">
        <f>IF(AQ530="2",BI530,0)</f>
        <v>0</v>
      </c>
      <c r="AH530" s="35">
        <f>IF(AQ530="0",BJ530,0)</f>
        <v>0</v>
      </c>
      <c r="AI530" s="77" t="s">
        <v>68</v>
      </c>
      <c r="AJ530" s="65">
        <f>IF(AN530=0,L530,0)</f>
        <v>0</v>
      </c>
      <c r="AK530" s="65">
        <f>IF(AN530=15,L530,0)</f>
        <v>0</v>
      </c>
      <c r="AL530" s="65">
        <f>IF(AN530=21,L530,0)</f>
        <v>80</v>
      </c>
      <c r="AN530" s="35">
        <v>21</v>
      </c>
      <c r="AO530" s="35">
        <f>I530*1</f>
        <v>20</v>
      </c>
      <c r="AP530" s="35">
        <f>I530*(1-1)</f>
        <v>0</v>
      </c>
      <c r="AQ530" s="79" t="s">
        <v>235</v>
      </c>
      <c r="AV530" s="35">
        <f>AW530+AX530</f>
        <v>80</v>
      </c>
      <c r="AW530" s="35">
        <f>H530*AO530</f>
        <v>80</v>
      </c>
      <c r="AX530" s="35">
        <f>H530*AP530</f>
        <v>0</v>
      </c>
      <c r="AY530" s="80" t="s">
        <v>1702</v>
      </c>
      <c r="AZ530" s="80" t="s">
        <v>1751</v>
      </c>
      <c r="BA530" s="77" t="s">
        <v>1781</v>
      </c>
      <c r="BC530" s="35">
        <f>AW530+AX530</f>
        <v>80</v>
      </c>
      <c r="BD530" s="35">
        <f>I530/(100-BE530)*100</f>
        <v>20</v>
      </c>
      <c r="BE530" s="35">
        <v>0</v>
      </c>
      <c r="BF530" s="35">
        <f>530</f>
        <v>530</v>
      </c>
      <c r="BH530" s="65">
        <f>H530*AO530</f>
        <v>80</v>
      </c>
      <c r="BI530" s="65">
        <f>H530*AP530</f>
        <v>0</v>
      </c>
      <c r="BJ530" s="65">
        <f>H530*I530</f>
        <v>80</v>
      </c>
      <c r="BK530" s="65" t="s">
        <v>1642</v>
      </c>
      <c r="BL530" s="35">
        <v>722</v>
      </c>
    </row>
    <row r="531" spans="1:64">
      <c r="A531" s="47" t="s">
        <v>547</v>
      </c>
      <c r="B531" s="55" t="s">
        <v>68</v>
      </c>
      <c r="C531" s="55" t="s">
        <v>995</v>
      </c>
      <c r="D531" s="165" t="s">
        <v>1488</v>
      </c>
      <c r="E531" s="166"/>
      <c r="F531" s="166"/>
      <c r="G531" s="55" t="s">
        <v>1634</v>
      </c>
      <c r="H531" s="64">
        <v>0</v>
      </c>
      <c r="I531" s="64">
        <v>456</v>
      </c>
      <c r="J531" s="64">
        <f>H531*AO531</f>
        <v>0</v>
      </c>
      <c r="K531" s="64">
        <f>H531*AP531</f>
        <v>0</v>
      </c>
      <c r="L531" s="64">
        <f>H531*I531</f>
        <v>0</v>
      </c>
      <c r="M531" s="73" t="s">
        <v>1657</v>
      </c>
      <c r="N531" s="19"/>
      <c r="Z531" s="35">
        <f>IF(AQ531="5",BJ531,0)</f>
        <v>0</v>
      </c>
      <c r="AB531" s="35">
        <f>IF(AQ531="1",BH531,0)</f>
        <v>0</v>
      </c>
      <c r="AC531" s="35">
        <f>IF(AQ531="1",BI531,0)</f>
        <v>0</v>
      </c>
      <c r="AD531" s="35">
        <f>IF(AQ531="7",BH531,0)</f>
        <v>0</v>
      </c>
      <c r="AE531" s="35">
        <f>IF(AQ531="7",BI531,0)</f>
        <v>0</v>
      </c>
      <c r="AF531" s="35">
        <f>IF(AQ531="2",BH531,0)</f>
        <v>0</v>
      </c>
      <c r="AG531" s="35">
        <f>IF(AQ531="2",BI531,0)</f>
        <v>0</v>
      </c>
      <c r="AH531" s="35">
        <f>IF(AQ531="0",BJ531,0)</f>
        <v>0</v>
      </c>
      <c r="AI531" s="77" t="s">
        <v>68</v>
      </c>
      <c r="AJ531" s="64">
        <f>IF(AN531=0,L531,0)</f>
        <v>0</v>
      </c>
      <c r="AK531" s="64">
        <f>IF(AN531=15,L531,0)</f>
        <v>0</v>
      </c>
      <c r="AL531" s="64">
        <f>IF(AN531=21,L531,0)</f>
        <v>0</v>
      </c>
      <c r="AN531" s="35">
        <v>21</v>
      </c>
      <c r="AO531" s="35">
        <f>I531*0</f>
        <v>0</v>
      </c>
      <c r="AP531" s="35">
        <f>I531*(1-0)</f>
        <v>456</v>
      </c>
      <c r="AQ531" s="78" t="s">
        <v>112</v>
      </c>
      <c r="AV531" s="35">
        <f>AW531+AX531</f>
        <v>0</v>
      </c>
      <c r="AW531" s="35">
        <f>H531*AO531</f>
        <v>0</v>
      </c>
      <c r="AX531" s="35">
        <f>H531*AP531</f>
        <v>0</v>
      </c>
      <c r="AY531" s="80" t="s">
        <v>1702</v>
      </c>
      <c r="AZ531" s="80" t="s">
        <v>1751</v>
      </c>
      <c r="BA531" s="77" t="s">
        <v>1781</v>
      </c>
      <c r="BC531" s="35">
        <f>AW531+AX531</f>
        <v>0</v>
      </c>
      <c r="BD531" s="35">
        <f>I531/(100-BE531)*100</f>
        <v>455.99999999999994</v>
      </c>
      <c r="BE531" s="35">
        <v>0</v>
      </c>
      <c r="BF531" s="35">
        <f>531</f>
        <v>531</v>
      </c>
      <c r="BH531" s="64">
        <f>H531*AO531</f>
        <v>0</v>
      </c>
      <c r="BI531" s="64">
        <f>H531*AP531</f>
        <v>0</v>
      </c>
      <c r="BJ531" s="64">
        <f>H531*I531</f>
        <v>0</v>
      </c>
      <c r="BK531" s="64" t="s">
        <v>1790</v>
      </c>
      <c r="BL531" s="35">
        <v>722</v>
      </c>
    </row>
    <row r="532" spans="1:64">
      <c r="A532" s="49"/>
      <c r="B532" s="57" t="s">
        <v>69</v>
      </c>
      <c r="C532" s="57"/>
      <c r="D532" s="172" t="s">
        <v>85</v>
      </c>
      <c r="E532" s="173"/>
      <c r="F532" s="173"/>
      <c r="G532" s="62" t="s">
        <v>57</v>
      </c>
      <c r="H532" s="62" t="s">
        <v>57</v>
      </c>
      <c r="I532" s="62" t="s">
        <v>57</v>
      </c>
      <c r="J532" s="84">
        <f>J533+J548+J557+J565+J573+J575+J577+J581</f>
        <v>4448.4650000000001</v>
      </c>
      <c r="K532" s="84">
        <f>K533+K548+K557+K565+K573+K575+K577+K581</f>
        <v>322401.83980000002</v>
      </c>
      <c r="L532" s="84">
        <f>L533+L548+L557+L565+L573+L575+L577+L581</f>
        <v>326850.3048000001</v>
      </c>
      <c r="M532" s="75"/>
      <c r="N532" s="19"/>
    </row>
    <row r="533" spans="1:64">
      <c r="A533" s="46"/>
      <c r="B533" s="54" t="s">
        <v>69</v>
      </c>
      <c r="C533" s="54" t="s">
        <v>137</v>
      </c>
      <c r="D533" s="163" t="s">
        <v>188</v>
      </c>
      <c r="E533" s="164"/>
      <c r="F533" s="164"/>
      <c r="G533" s="61" t="s">
        <v>57</v>
      </c>
      <c r="H533" s="61" t="s">
        <v>57</v>
      </c>
      <c r="I533" s="61" t="s">
        <v>57</v>
      </c>
      <c r="J533" s="83">
        <f>SUM(J534:J547)</f>
        <v>4374.665</v>
      </c>
      <c r="K533" s="83">
        <f>SUM(K534:K547)</f>
        <v>24521.519030000003</v>
      </c>
      <c r="L533" s="83">
        <f>SUM(L534:L547)</f>
        <v>28896.184030000004</v>
      </c>
      <c r="M533" s="72"/>
      <c r="N533" s="19"/>
      <c r="AI533" s="77" t="s">
        <v>69</v>
      </c>
      <c r="AS533" s="83">
        <f>SUM(AJ534:AJ547)</f>
        <v>0</v>
      </c>
      <c r="AT533" s="83">
        <f>SUM(AK534:AK547)</f>
        <v>0</v>
      </c>
      <c r="AU533" s="83">
        <f>SUM(AL534:AL547)</f>
        <v>28896.184030000004</v>
      </c>
    </row>
    <row r="534" spans="1:64">
      <c r="A534" s="47" t="s">
        <v>548</v>
      </c>
      <c r="B534" s="55" t="s">
        <v>69</v>
      </c>
      <c r="C534" s="55" t="s">
        <v>772</v>
      </c>
      <c r="D534" s="165" t="s">
        <v>1174</v>
      </c>
      <c r="E534" s="166"/>
      <c r="F534" s="166"/>
      <c r="G534" s="55" t="s">
        <v>1633</v>
      </c>
      <c r="H534" s="64">
        <v>9.4</v>
      </c>
      <c r="I534" s="64">
        <v>46</v>
      </c>
      <c r="J534" s="64">
        <f t="shared" ref="J534:J547" si="332">H534*AO534</f>
        <v>0</v>
      </c>
      <c r="K534" s="64">
        <f t="shared" ref="K534:K547" si="333">H534*AP534</f>
        <v>432.40000000000003</v>
      </c>
      <c r="L534" s="64">
        <f t="shared" ref="L534:L547" si="334">H534*I534</f>
        <v>432.40000000000003</v>
      </c>
      <c r="M534" s="73" t="s">
        <v>1657</v>
      </c>
      <c r="N534" s="19"/>
      <c r="Z534" s="35">
        <f t="shared" ref="Z534:Z547" si="335">IF(AQ534="5",BJ534,0)</f>
        <v>0</v>
      </c>
      <c r="AB534" s="35">
        <f t="shared" ref="AB534:AB547" si="336">IF(AQ534="1",BH534,0)</f>
        <v>0</v>
      </c>
      <c r="AC534" s="35">
        <f t="shared" ref="AC534:AC547" si="337">IF(AQ534="1",BI534,0)</f>
        <v>0</v>
      </c>
      <c r="AD534" s="35">
        <f t="shared" ref="AD534:AD547" si="338">IF(AQ534="7",BH534,0)</f>
        <v>0</v>
      </c>
      <c r="AE534" s="35">
        <f t="shared" ref="AE534:AE547" si="339">IF(AQ534="7",BI534,0)</f>
        <v>432.40000000000003</v>
      </c>
      <c r="AF534" s="35">
        <f t="shared" ref="AF534:AF547" si="340">IF(AQ534="2",BH534,0)</f>
        <v>0</v>
      </c>
      <c r="AG534" s="35">
        <f t="shared" ref="AG534:AG547" si="341">IF(AQ534="2",BI534,0)</f>
        <v>0</v>
      </c>
      <c r="AH534" s="35">
        <f t="shared" ref="AH534:AH547" si="342">IF(AQ534="0",BJ534,0)</f>
        <v>0</v>
      </c>
      <c r="AI534" s="77" t="s">
        <v>69</v>
      </c>
      <c r="AJ534" s="64">
        <f t="shared" ref="AJ534:AJ547" si="343">IF(AN534=0,L534,0)</f>
        <v>0</v>
      </c>
      <c r="AK534" s="64">
        <f t="shared" ref="AK534:AK547" si="344">IF(AN534=15,L534,0)</f>
        <v>0</v>
      </c>
      <c r="AL534" s="64">
        <f t="shared" ref="AL534:AL547" si="345">IF(AN534=21,L534,0)</f>
        <v>432.40000000000003</v>
      </c>
      <c r="AN534" s="35">
        <v>21</v>
      </c>
      <c r="AO534" s="35">
        <f>I534*0</f>
        <v>0</v>
      </c>
      <c r="AP534" s="35">
        <f>I534*(1-0)</f>
        <v>46</v>
      </c>
      <c r="AQ534" s="78" t="s">
        <v>235</v>
      </c>
      <c r="AV534" s="35">
        <f t="shared" ref="AV534:AV547" si="346">AW534+AX534</f>
        <v>432.40000000000003</v>
      </c>
      <c r="AW534" s="35">
        <f t="shared" ref="AW534:AW547" si="347">H534*AO534</f>
        <v>0</v>
      </c>
      <c r="AX534" s="35">
        <f t="shared" ref="AX534:AX547" si="348">H534*AP534</f>
        <v>432.40000000000003</v>
      </c>
      <c r="AY534" s="80" t="s">
        <v>1676</v>
      </c>
      <c r="AZ534" s="80" t="s">
        <v>1752</v>
      </c>
      <c r="BA534" s="77" t="s">
        <v>1782</v>
      </c>
      <c r="BC534" s="35">
        <f t="shared" ref="BC534:BC547" si="349">AW534+AX534</f>
        <v>432.40000000000003</v>
      </c>
      <c r="BD534" s="35">
        <f t="shared" ref="BD534:BD547" si="350">I534/(100-BE534)*100</f>
        <v>46</v>
      </c>
      <c r="BE534" s="35">
        <v>0</v>
      </c>
      <c r="BF534" s="35">
        <f>534</f>
        <v>534</v>
      </c>
      <c r="BH534" s="64">
        <f t="shared" ref="BH534:BH547" si="351">H534*AO534</f>
        <v>0</v>
      </c>
      <c r="BI534" s="64">
        <f t="shared" ref="BI534:BI547" si="352">H534*AP534</f>
        <v>432.40000000000003</v>
      </c>
      <c r="BJ534" s="64">
        <f t="shared" ref="BJ534:BJ547" si="353">H534*I534</f>
        <v>432.40000000000003</v>
      </c>
      <c r="BK534" s="64" t="s">
        <v>1790</v>
      </c>
      <c r="BL534" s="35">
        <v>771</v>
      </c>
    </row>
    <row r="535" spans="1:64">
      <c r="A535" s="48" t="s">
        <v>549</v>
      </c>
      <c r="B535" s="56" t="s">
        <v>69</v>
      </c>
      <c r="C535" s="56" t="s">
        <v>773</v>
      </c>
      <c r="D535" s="170" t="s">
        <v>1175</v>
      </c>
      <c r="E535" s="171"/>
      <c r="F535" s="171"/>
      <c r="G535" s="56" t="s">
        <v>1631</v>
      </c>
      <c r="H535" s="65">
        <v>1.88</v>
      </c>
      <c r="I535" s="65">
        <v>123</v>
      </c>
      <c r="J535" s="65">
        <f t="shared" si="332"/>
        <v>231.23999999999998</v>
      </c>
      <c r="K535" s="65">
        <f t="shared" si="333"/>
        <v>0</v>
      </c>
      <c r="L535" s="65">
        <f t="shared" si="334"/>
        <v>231.23999999999998</v>
      </c>
      <c r="M535" s="74" t="s">
        <v>1657</v>
      </c>
      <c r="N535" s="19"/>
      <c r="Z535" s="35">
        <f t="shared" si="335"/>
        <v>0</v>
      </c>
      <c r="AB535" s="35">
        <f t="shared" si="336"/>
        <v>0</v>
      </c>
      <c r="AC535" s="35">
        <f t="shared" si="337"/>
        <v>0</v>
      </c>
      <c r="AD535" s="35">
        <f t="shared" si="338"/>
        <v>231.23999999999998</v>
      </c>
      <c r="AE535" s="35">
        <f t="shared" si="339"/>
        <v>0</v>
      </c>
      <c r="AF535" s="35">
        <f t="shared" si="340"/>
        <v>0</v>
      </c>
      <c r="AG535" s="35">
        <f t="shared" si="341"/>
        <v>0</v>
      </c>
      <c r="AH535" s="35">
        <f t="shared" si="342"/>
        <v>0</v>
      </c>
      <c r="AI535" s="77" t="s">
        <v>69</v>
      </c>
      <c r="AJ535" s="65">
        <f t="shared" si="343"/>
        <v>0</v>
      </c>
      <c r="AK535" s="65">
        <f t="shared" si="344"/>
        <v>0</v>
      </c>
      <c r="AL535" s="65">
        <f t="shared" si="345"/>
        <v>231.23999999999998</v>
      </c>
      <c r="AN535" s="35">
        <v>21</v>
      </c>
      <c r="AO535" s="35">
        <f>I535*1</f>
        <v>123</v>
      </c>
      <c r="AP535" s="35">
        <f>I535*(1-1)</f>
        <v>0</v>
      </c>
      <c r="AQ535" s="79" t="s">
        <v>235</v>
      </c>
      <c r="AV535" s="35">
        <f t="shared" si="346"/>
        <v>231.23999999999998</v>
      </c>
      <c r="AW535" s="35">
        <f t="shared" si="347"/>
        <v>231.23999999999998</v>
      </c>
      <c r="AX535" s="35">
        <f t="shared" si="348"/>
        <v>0</v>
      </c>
      <c r="AY535" s="80" t="s">
        <v>1676</v>
      </c>
      <c r="AZ535" s="80" t="s">
        <v>1752</v>
      </c>
      <c r="BA535" s="77" t="s">
        <v>1782</v>
      </c>
      <c r="BC535" s="35">
        <f t="shared" si="349"/>
        <v>231.23999999999998</v>
      </c>
      <c r="BD535" s="35">
        <f t="shared" si="350"/>
        <v>123</v>
      </c>
      <c r="BE535" s="35">
        <v>0</v>
      </c>
      <c r="BF535" s="35">
        <f>535</f>
        <v>535</v>
      </c>
      <c r="BH535" s="65">
        <f t="shared" si="351"/>
        <v>231.23999999999998</v>
      </c>
      <c r="BI535" s="65">
        <f t="shared" si="352"/>
        <v>0</v>
      </c>
      <c r="BJ535" s="65">
        <f t="shared" si="353"/>
        <v>231.23999999999998</v>
      </c>
      <c r="BK535" s="65" t="s">
        <v>1642</v>
      </c>
      <c r="BL535" s="35">
        <v>771</v>
      </c>
    </row>
    <row r="536" spans="1:64">
      <c r="A536" s="47" t="s">
        <v>550</v>
      </c>
      <c r="B536" s="55" t="s">
        <v>69</v>
      </c>
      <c r="C536" s="55" t="s">
        <v>996</v>
      </c>
      <c r="D536" s="165" t="s">
        <v>1489</v>
      </c>
      <c r="E536" s="166"/>
      <c r="F536" s="166"/>
      <c r="G536" s="55" t="s">
        <v>1633</v>
      </c>
      <c r="H536" s="64">
        <v>10.36</v>
      </c>
      <c r="I536" s="64">
        <v>234</v>
      </c>
      <c r="J536" s="64">
        <f t="shared" si="332"/>
        <v>0</v>
      </c>
      <c r="K536" s="64">
        <f t="shared" si="333"/>
        <v>2424.2399999999998</v>
      </c>
      <c r="L536" s="64">
        <f t="shared" si="334"/>
        <v>2424.2399999999998</v>
      </c>
      <c r="M536" s="73" t="s">
        <v>1657</v>
      </c>
      <c r="N536" s="19"/>
      <c r="Z536" s="35">
        <f t="shared" si="335"/>
        <v>0</v>
      </c>
      <c r="AB536" s="35">
        <f t="shared" si="336"/>
        <v>0</v>
      </c>
      <c r="AC536" s="35">
        <f t="shared" si="337"/>
        <v>0</v>
      </c>
      <c r="AD536" s="35">
        <f t="shared" si="338"/>
        <v>0</v>
      </c>
      <c r="AE536" s="35">
        <f t="shared" si="339"/>
        <v>2424.2399999999998</v>
      </c>
      <c r="AF536" s="35">
        <f t="shared" si="340"/>
        <v>0</v>
      </c>
      <c r="AG536" s="35">
        <f t="shared" si="341"/>
        <v>0</v>
      </c>
      <c r="AH536" s="35">
        <f t="shared" si="342"/>
        <v>0</v>
      </c>
      <c r="AI536" s="77" t="s">
        <v>69</v>
      </c>
      <c r="AJ536" s="64">
        <f t="shared" si="343"/>
        <v>0</v>
      </c>
      <c r="AK536" s="64">
        <f t="shared" si="344"/>
        <v>0</v>
      </c>
      <c r="AL536" s="64">
        <f t="shared" si="345"/>
        <v>2424.2399999999998</v>
      </c>
      <c r="AN536" s="35">
        <v>21</v>
      </c>
      <c r="AO536" s="35">
        <f>I536*0</f>
        <v>0</v>
      </c>
      <c r="AP536" s="35">
        <f>I536*(1-0)</f>
        <v>234</v>
      </c>
      <c r="AQ536" s="78" t="s">
        <v>235</v>
      </c>
      <c r="AV536" s="35">
        <f t="shared" si="346"/>
        <v>2424.2399999999998</v>
      </c>
      <c r="AW536" s="35">
        <f t="shared" si="347"/>
        <v>0</v>
      </c>
      <c r="AX536" s="35">
        <f t="shared" si="348"/>
        <v>2424.2399999999998</v>
      </c>
      <c r="AY536" s="80" t="s">
        <v>1676</v>
      </c>
      <c r="AZ536" s="80" t="s">
        <v>1752</v>
      </c>
      <c r="BA536" s="77" t="s">
        <v>1782</v>
      </c>
      <c r="BC536" s="35">
        <f t="shared" si="349"/>
        <v>2424.2399999999998</v>
      </c>
      <c r="BD536" s="35">
        <f t="shared" si="350"/>
        <v>234</v>
      </c>
      <c r="BE536" s="35">
        <v>0</v>
      </c>
      <c r="BF536" s="35">
        <f>536</f>
        <v>536</v>
      </c>
      <c r="BH536" s="64">
        <f t="shared" si="351"/>
        <v>0</v>
      </c>
      <c r="BI536" s="64">
        <f t="shared" si="352"/>
        <v>2424.2399999999998</v>
      </c>
      <c r="BJ536" s="64">
        <f t="shared" si="353"/>
        <v>2424.2399999999998</v>
      </c>
      <c r="BK536" s="64" t="s">
        <v>1790</v>
      </c>
      <c r="BL536" s="35">
        <v>771</v>
      </c>
    </row>
    <row r="537" spans="1:64">
      <c r="A537" s="48" t="s">
        <v>551</v>
      </c>
      <c r="B537" s="56" t="s">
        <v>69</v>
      </c>
      <c r="C537" s="56" t="s">
        <v>775</v>
      </c>
      <c r="D537" s="170" t="s">
        <v>1177</v>
      </c>
      <c r="E537" s="171"/>
      <c r="F537" s="171"/>
      <c r="G537" s="56" t="s">
        <v>1632</v>
      </c>
      <c r="H537" s="65">
        <v>3.4188000000000001</v>
      </c>
      <c r="I537" s="65">
        <v>325</v>
      </c>
      <c r="J537" s="65">
        <f t="shared" si="332"/>
        <v>1111.1100000000001</v>
      </c>
      <c r="K537" s="65">
        <f t="shared" si="333"/>
        <v>0</v>
      </c>
      <c r="L537" s="65">
        <f t="shared" si="334"/>
        <v>1111.1100000000001</v>
      </c>
      <c r="M537" s="74" t="s">
        <v>1657</v>
      </c>
      <c r="N537" s="19"/>
      <c r="Z537" s="35">
        <f t="shared" si="335"/>
        <v>0</v>
      </c>
      <c r="AB537" s="35">
        <f t="shared" si="336"/>
        <v>0</v>
      </c>
      <c r="AC537" s="35">
        <f t="shared" si="337"/>
        <v>0</v>
      </c>
      <c r="AD537" s="35">
        <f t="shared" si="338"/>
        <v>1111.1100000000001</v>
      </c>
      <c r="AE537" s="35">
        <f t="shared" si="339"/>
        <v>0</v>
      </c>
      <c r="AF537" s="35">
        <f t="shared" si="340"/>
        <v>0</v>
      </c>
      <c r="AG537" s="35">
        <f t="shared" si="341"/>
        <v>0</v>
      </c>
      <c r="AH537" s="35">
        <f t="shared" si="342"/>
        <v>0</v>
      </c>
      <c r="AI537" s="77" t="s">
        <v>69</v>
      </c>
      <c r="AJ537" s="65">
        <f t="shared" si="343"/>
        <v>0</v>
      </c>
      <c r="AK537" s="65">
        <f t="shared" si="344"/>
        <v>0</v>
      </c>
      <c r="AL537" s="65">
        <f t="shared" si="345"/>
        <v>1111.1100000000001</v>
      </c>
      <c r="AN537" s="35">
        <v>21</v>
      </c>
      <c r="AO537" s="35">
        <f>I537*1</f>
        <v>325</v>
      </c>
      <c r="AP537" s="35">
        <f>I537*(1-1)</f>
        <v>0</v>
      </c>
      <c r="AQ537" s="79" t="s">
        <v>235</v>
      </c>
      <c r="AV537" s="35">
        <f t="shared" si="346"/>
        <v>1111.1100000000001</v>
      </c>
      <c r="AW537" s="35">
        <f t="shared" si="347"/>
        <v>1111.1100000000001</v>
      </c>
      <c r="AX537" s="35">
        <f t="shared" si="348"/>
        <v>0</v>
      </c>
      <c r="AY537" s="80" t="s">
        <v>1676</v>
      </c>
      <c r="AZ537" s="80" t="s">
        <v>1752</v>
      </c>
      <c r="BA537" s="77" t="s">
        <v>1782</v>
      </c>
      <c r="BC537" s="35">
        <f t="shared" si="349"/>
        <v>1111.1100000000001</v>
      </c>
      <c r="BD537" s="35">
        <f t="shared" si="350"/>
        <v>325</v>
      </c>
      <c r="BE537" s="35">
        <v>0</v>
      </c>
      <c r="BF537" s="35">
        <f>537</f>
        <v>537</v>
      </c>
      <c r="BH537" s="65">
        <f t="shared" si="351"/>
        <v>1111.1100000000001</v>
      </c>
      <c r="BI537" s="65">
        <f t="shared" si="352"/>
        <v>0</v>
      </c>
      <c r="BJ537" s="65">
        <f t="shared" si="353"/>
        <v>1111.1100000000001</v>
      </c>
      <c r="BK537" s="65" t="s">
        <v>1642</v>
      </c>
      <c r="BL537" s="35">
        <v>771</v>
      </c>
    </row>
    <row r="538" spans="1:64">
      <c r="A538" s="47" t="s">
        <v>552</v>
      </c>
      <c r="B538" s="55" t="s">
        <v>69</v>
      </c>
      <c r="C538" s="55" t="s">
        <v>997</v>
      </c>
      <c r="D538" s="165" t="s">
        <v>1490</v>
      </c>
      <c r="E538" s="166"/>
      <c r="F538" s="166"/>
      <c r="G538" s="55" t="s">
        <v>1633</v>
      </c>
      <c r="H538" s="64">
        <v>18.12</v>
      </c>
      <c r="I538" s="64">
        <v>148</v>
      </c>
      <c r="J538" s="64">
        <f t="shared" si="332"/>
        <v>0</v>
      </c>
      <c r="K538" s="64">
        <f t="shared" si="333"/>
        <v>2681.76</v>
      </c>
      <c r="L538" s="64">
        <f t="shared" si="334"/>
        <v>2681.76</v>
      </c>
      <c r="M538" s="73" t="s">
        <v>1657</v>
      </c>
      <c r="N538" s="19"/>
      <c r="Z538" s="35">
        <f t="shared" si="335"/>
        <v>0</v>
      </c>
      <c r="AB538" s="35">
        <f t="shared" si="336"/>
        <v>0</v>
      </c>
      <c r="AC538" s="35">
        <f t="shared" si="337"/>
        <v>0</v>
      </c>
      <c r="AD538" s="35">
        <f t="shared" si="338"/>
        <v>0</v>
      </c>
      <c r="AE538" s="35">
        <f t="shared" si="339"/>
        <v>2681.76</v>
      </c>
      <c r="AF538" s="35">
        <f t="shared" si="340"/>
        <v>0</v>
      </c>
      <c r="AG538" s="35">
        <f t="shared" si="341"/>
        <v>0</v>
      </c>
      <c r="AH538" s="35">
        <f t="shared" si="342"/>
        <v>0</v>
      </c>
      <c r="AI538" s="77" t="s">
        <v>69</v>
      </c>
      <c r="AJ538" s="64">
        <f t="shared" si="343"/>
        <v>0</v>
      </c>
      <c r="AK538" s="64">
        <f t="shared" si="344"/>
        <v>0</v>
      </c>
      <c r="AL538" s="64">
        <f t="shared" si="345"/>
        <v>2681.76</v>
      </c>
      <c r="AN538" s="35">
        <v>21</v>
      </c>
      <c r="AO538" s="35">
        <f>I538*0</f>
        <v>0</v>
      </c>
      <c r="AP538" s="35">
        <f>I538*(1-0)</f>
        <v>148</v>
      </c>
      <c r="AQ538" s="78" t="s">
        <v>235</v>
      </c>
      <c r="AV538" s="35">
        <f t="shared" si="346"/>
        <v>2681.76</v>
      </c>
      <c r="AW538" s="35">
        <f t="shared" si="347"/>
        <v>0</v>
      </c>
      <c r="AX538" s="35">
        <f t="shared" si="348"/>
        <v>2681.76</v>
      </c>
      <c r="AY538" s="80" t="s">
        <v>1676</v>
      </c>
      <c r="AZ538" s="80" t="s">
        <v>1752</v>
      </c>
      <c r="BA538" s="77" t="s">
        <v>1782</v>
      </c>
      <c r="BC538" s="35">
        <f t="shared" si="349"/>
        <v>2681.76</v>
      </c>
      <c r="BD538" s="35">
        <f t="shared" si="350"/>
        <v>148</v>
      </c>
      <c r="BE538" s="35">
        <v>0</v>
      </c>
      <c r="BF538" s="35">
        <f>538</f>
        <v>538</v>
      </c>
      <c r="BH538" s="64">
        <f t="shared" si="351"/>
        <v>0</v>
      </c>
      <c r="BI538" s="64">
        <f t="shared" si="352"/>
        <v>2681.76</v>
      </c>
      <c r="BJ538" s="64">
        <f t="shared" si="353"/>
        <v>2681.76</v>
      </c>
      <c r="BK538" s="64" t="s">
        <v>1790</v>
      </c>
      <c r="BL538" s="35">
        <v>771</v>
      </c>
    </row>
    <row r="539" spans="1:64">
      <c r="A539" s="48" t="s">
        <v>553</v>
      </c>
      <c r="B539" s="56" t="s">
        <v>69</v>
      </c>
      <c r="C539" s="56" t="s">
        <v>775</v>
      </c>
      <c r="D539" s="170" t="s">
        <v>1177</v>
      </c>
      <c r="E539" s="171"/>
      <c r="F539" s="171"/>
      <c r="G539" s="56" t="s">
        <v>1632</v>
      </c>
      <c r="H539" s="65">
        <v>2.9897999999999998</v>
      </c>
      <c r="I539" s="65">
        <v>325</v>
      </c>
      <c r="J539" s="65">
        <f t="shared" si="332"/>
        <v>971.68499999999995</v>
      </c>
      <c r="K539" s="65">
        <f t="shared" si="333"/>
        <v>0</v>
      </c>
      <c r="L539" s="65">
        <f t="shared" si="334"/>
        <v>971.68499999999995</v>
      </c>
      <c r="M539" s="74" t="s">
        <v>1657</v>
      </c>
      <c r="N539" s="19"/>
      <c r="Z539" s="35">
        <f t="shared" si="335"/>
        <v>0</v>
      </c>
      <c r="AB539" s="35">
        <f t="shared" si="336"/>
        <v>0</v>
      </c>
      <c r="AC539" s="35">
        <f t="shared" si="337"/>
        <v>0</v>
      </c>
      <c r="AD539" s="35">
        <f t="shared" si="338"/>
        <v>971.68499999999995</v>
      </c>
      <c r="AE539" s="35">
        <f t="shared" si="339"/>
        <v>0</v>
      </c>
      <c r="AF539" s="35">
        <f t="shared" si="340"/>
        <v>0</v>
      </c>
      <c r="AG539" s="35">
        <f t="shared" si="341"/>
        <v>0</v>
      </c>
      <c r="AH539" s="35">
        <f t="shared" si="342"/>
        <v>0</v>
      </c>
      <c r="AI539" s="77" t="s">
        <v>69</v>
      </c>
      <c r="AJ539" s="65">
        <f t="shared" si="343"/>
        <v>0</v>
      </c>
      <c r="AK539" s="65">
        <f t="shared" si="344"/>
        <v>0</v>
      </c>
      <c r="AL539" s="65">
        <f t="shared" si="345"/>
        <v>971.68499999999995</v>
      </c>
      <c r="AN539" s="35">
        <v>21</v>
      </c>
      <c r="AO539" s="35">
        <f>I539*1</f>
        <v>325</v>
      </c>
      <c r="AP539" s="35">
        <f>I539*(1-1)</f>
        <v>0</v>
      </c>
      <c r="AQ539" s="79" t="s">
        <v>235</v>
      </c>
      <c r="AV539" s="35">
        <f t="shared" si="346"/>
        <v>971.68499999999995</v>
      </c>
      <c r="AW539" s="35">
        <f t="shared" si="347"/>
        <v>971.68499999999995</v>
      </c>
      <c r="AX539" s="35">
        <f t="shared" si="348"/>
        <v>0</v>
      </c>
      <c r="AY539" s="80" t="s">
        <v>1676</v>
      </c>
      <c r="AZ539" s="80" t="s">
        <v>1752</v>
      </c>
      <c r="BA539" s="77" t="s">
        <v>1782</v>
      </c>
      <c r="BC539" s="35">
        <f t="shared" si="349"/>
        <v>971.68499999999995</v>
      </c>
      <c r="BD539" s="35">
        <f t="shared" si="350"/>
        <v>325</v>
      </c>
      <c r="BE539" s="35">
        <v>0</v>
      </c>
      <c r="BF539" s="35">
        <f>539</f>
        <v>539</v>
      </c>
      <c r="BH539" s="65">
        <f t="shared" si="351"/>
        <v>971.68499999999995</v>
      </c>
      <c r="BI539" s="65">
        <f t="shared" si="352"/>
        <v>0</v>
      </c>
      <c r="BJ539" s="65">
        <f t="shared" si="353"/>
        <v>971.68499999999995</v>
      </c>
      <c r="BK539" s="65" t="s">
        <v>1642</v>
      </c>
      <c r="BL539" s="35">
        <v>771</v>
      </c>
    </row>
    <row r="540" spans="1:64">
      <c r="A540" s="47" t="s">
        <v>554</v>
      </c>
      <c r="B540" s="55" t="s">
        <v>69</v>
      </c>
      <c r="C540" s="55" t="s">
        <v>774</v>
      </c>
      <c r="D540" s="165" t="s">
        <v>1176</v>
      </c>
      <c r="E540" s="166"/>
      <c r="F540" s="166"/>
      <c r="G540" s="55" t="s">
        <v>1633</v>
      </c>
      <c r="H540" s="64">
        <v>9.4</v>
      </c>
      <c r="I540" s="64">
        <v>91</v>
      </c>
      <c r="J540" s="64">
        <f t="shared" si="332"/>
        <v>0</v>
      </c>
      <c r="K540" s="64">
        <f t="shared" si="333"/>
        <v>855.4</v>
      </c>
      <c r="L540" s="64">
        <f t="shared" si="334"/>
        <v>855.4</v>
      </c>
      <c r="M540" s="73" t="s">
        <v>1657</v>
      </c>
      <c r="N540" s="19"/>
      <c r="Z540" s="35">
        <f t="shared" si="335"/>
        <v>0</v>
      </c>
      <c r="AB540" s="35">
        <f t="shared" si="336"/>
        <v>0</v>
      </c>
      <c r="AC540" s="35">
        <f t="shared" si="337"/>
        <v>0</v>
      </c>
      <c r="AD540" s="35">
        <f t="shared" si="338"/>
        <v>0</v>
      </c>
      <c r="AE540" s="35">
        <f t="shared" si="339"/>
        <v>855.4</v>
      </c>
      <c r="AF540" s="35">
        <f t="shared" si="340"/>
        <v>0</v>
      </c>
      <c r="AG540" s="35">
        <f t="shared" si="341"/>
        <v>0</v>
      </c>
      <c r="AH540" s="35">
        <f t="shared" si="342"/>
        <v>0</v>
      </c>
      <c r="AI540" s="77" t="s">
        <v>69</v>
      </c>
      <c r="AJ540" s="64">
        <f t="shared" si="343"/>
        <v>0</v>
      </c>
      <c r="AK540" s="64">
        <f t="shared" si="344"/>
        <v>0</v>
      </c>
      <c r="AL540" s="64">
        <f t="shared" si="345"/>
        <v>855.4</v>
      </c>
      <c r="AN540" s="35">
        <v>21</v>
      </c>
      <c r="AO540" s="35">
        <f>I540*0</f>
        <v>0</v>
      </c>
      <c r="AP540" s="35">
        <f>I540*(1-0)</f>
        <v>91</v>
      </c>
      <c r="AQ540" s="78" t="s">
        <v>235</v>
      </c>
      <c r="AV540" s="35">
        <f t="shared" si="346"/>
        <v>855.4</v>
      </c>
      <c r="AW540" s="35">
        <f t="shared" si="347"/>
        <v>0</v>
      </c>
      <c r="AX540" s="35">
        <f t="shared" si="348"/>
        <v>855.4</v>
      </c>
      <c r="AY540" s="80" t="s">
        <v>1676</v>
      </c>
      <c r="AZ540" s="80" t="s">
        <v>1752</v>
      </c>
      <c r="BA540" s="77" t="s">
        <v>1782</v>
      </c>
      <c r="BC540" s="35">
        <f t="shared" si="349"/>
        <v>855.4</v>
      </c>
      <c r="BD540" s="35">
        <f t="shared" si="350"/>
        <v>91</v>
      </c>
      <c r="BE540" s="35">
        <v>0</v>
      </c>
      <c r="BF540" s="35">
        <f>540</f>
        <v>540</v>
      </c>
      <c r="BH540" s="64">
        <f t="shared" si="351"/>
        <v>0</v>
      </c>
      <c r="BI540" s="64">
        <f t="shared" si="352"/>
        <v>855.4</v>
      </c>
      <c r="BJ540" s="64">
        <f t="shared" si="353"/>
        <v>855.4</v>
      </c>
      <c r="BK540" s="64" t="s">
        <v>1790</v>
      </c>
      <c r="BL540" s="35">
        <v>771</v>
      </c>
    </row>
    <row r="541" spans="1:64">
      <c r="A541" s="48" t="s">
        <v>555</v>
      </c>
      <c r="B541" s="56" t="s">
        <v>69</v>
      </c>
      <c r="C541" s="56" t="s">
        <v>775</v>
      </c>
      <c r="D541" s="170" t="s">
        <v>1177</v>
      </c>
      <c r="E541" s="171"/>
      <c r="F541" s="171"/>
      <c r="G541" s="56" t="s">
        <v>1632</v>
      </c>
      <c r="H541" s="65">
        <v>1.034</v>
      </c>
      <c r="I541" s="65">
        <v>325</v>
      </c>
      <c r="J541" s="65">
        <f t="shared" si="332"/>
        <v>336.05</v>
      </c>
      <c r="K541" s="65">
        <f t="shared" si="333"/>
        <v>0</v>
      </c>
      <c r="L541" s="65">
        <f t="shared" si="334"/>
        <v>336.05</v>
      </c>
      <c r="M541" s="74" t="s">
        <v>1657</v>
      </c>
      <c r="N541" s="19"/>
      <c r="Z541" s="35">
        <f t="shared" si="335"/>
        <v>0</v>
      </c>
      <c r="AB541" s="35">
        <f t="shared" si="336"/>
        <v>0</v>
      </c>
      <c r="AC541" s="35">
        <f t="shared" si="337"/>
        <v>0</v>
      </c>
      <c r="AD541" s="35">
        <f t="shared" si="338"/>
        <v>336.05</v>
      </c>
      <c r="AE541" s="35">
        <f t="shared" si="339"/>
        <v>0</v>
      </c>
      <c r="AF541" s="35">
        <f t="shared" si="340"/>
        <v>0</v>
      </c>
      <c r="AG541" s="35">
        <f t="shared" si="341"/>
        <v>0</v>
      </c>
      <c r="AH541" s="35">
        <f t="shared" si="342"/>
        <v>0</v>
      </c>
      <c r="AI541" s="77" t="s">
        <v>69</v>
      </c>
      <c r="AJ541" s="65">
        <f t="shared" si="343"/>
        <v>0</v>
      </c>
      <c r="AK541" s="65">
        <f t="shared" si="344"/>
        <v>0</v>
      </c>
      <c r="AL541" s="65">
        <f t="shared" si="345"/>
        <v>336.05</v>
      </c>
      <c r="AN541" s="35">
        <v>21</v>
      </c>
      <c r="AO541" s="35">
        <f>I541*1</f>
        <v>325</v>
      </c>
      <c r="AP541" s="35">
        <f>I541*(1-1)</f>
        <v>0</v>
      </c>
      <c r="AQ541" s="79" t="s">
        <v>235</v>
      </c>
      <c r="AV541" s="35">
        <f t="shared" si="346"/>
        <v>336.05</v>
      </c>
      <c r="AW541" s="35">
        <f t="shared" si="347"/>
        <v>336.05</v>
      </c>
      <c r="AX541" s="35">
        <f t="shared" si="348"/>
        <v>0</v>
      </c>
      <c r="AY541" s="80" t="s">
        <v>1676</v>
      </c>
      <c r="AZ541" s="80" t="s">
        <v>1752</v>
      </c>
      <c r="BA541" s="77" t="s">
        <v>1782</v>
      </c>
      <c r="BC541" s="35">
        <f t="shared" si="349"/>
        <v>336.05</v>
      </c>
      <c r="BD541" s="35">
        <f t="shared" si="350"/>
        <v>325</v>
      </c>
      <c r="BE541" s="35">
        <v>0</v>
      </c>
      <c r="BF541" s="35">
        <f>541</f>
        <v>541</v>
      </c>
      <c r="BH541" s="65">
        <f t="shared" si="351"/>
        <v>336.05</v>
      </c>
      <c r="BI541" s="65">
        <f t="shared" si="352"/>
        <v>0</v>
      </c>
      <c r="BJ541" s="65">
        <f t="shared" si="353"/>
        <v>336.05</v>
      </c>
      <c r="BK541" s="65" t="s">
        <v>1642</v>
      </c>
      <c r="BL541" s="35">
        <v>771</v>
      </c>
    </row>
    <row r="542" spans="1:64">
      <c r="A542" s="47" t="s">
        <v>556</v>
      </c>
      <c r="B542" s="55" t="s">
        <v>69</v>
      </c>
      <c r="C542" s="55" t="s">
        <v>776</v>
      </c>
      <c r="D542" s="165" t="s">
        <v>1178</v>
      </c>
      <c r="E542" s="166"/>
      <c r="F542" s="166"/>
      <c r="G542" s="55" t="s">
        <v>1633</v>
      </c>
      <c r="H542" s="64">
        <v>15.32667</v>
      </c>
      <c r="I542" s="64">
        <v>67</v>
      </c>
      <c r="J542" s="64">
        <f t="shared" si="332"/>
        <v>0</v>
      </c>
      <c r="K542" s="64">
        <f t="shared" si="333"/>
        <v>1026.88689</v>
      </c>
      <c r="L542" s="64">
        <f t="shared" si="334"/>
        <v>1026.88689</v>
      </c>
      <c r="M542" s="73" t="s">
        <v>1657</v>
      </c>
      <c r="N542" s="19"/>
      <c r="Z542" s="35">
        <f t="shared" si="335"/>
        <v>0</v>
      </c>
      <c r="AB542" s="35">
        <f t="shared" si="336"/>
        <v>0</v>
      </c>
      <c r="AC542" s="35">
        <f t="shared" si="337"/>
        <v>0</v>
      </c>
      <c r="AD542" s="35">
        <f t="shared" si="338"/>
        <v>0</v>
      </c>
      <c r="AE542" s="35">
        <f t="shared" si="339"/>
        <v>1026.88689</v>
      </c>
      <c r="AF542" s="35">
        <f t="shared" si="340"/>
        <v>0</v>
      </c>
      <c r="AG542" s="35">
        <f t="shared" si="341"/>
        <v>0</v>
      </c>
      <c r="AH542" s="35">
        <f t="shared" si="342"/>
        <v>0</v>
      </c>
      <c r="AI542" s="77" t="s">
        <v>69</v>
      </c>
      <c r="AJ542" s="64">
        <f t="shared" si="343"/>
        <v>0</v>
      </c>
      <c r="AK542" s="64">
        <f t="shared" si="344"/>
        <v>0</v>
      </c>
      <c r="AL542" s="64">
        <f t="shared" si="345"/>
        <v>1026.88689</v>
      </c>
      <c r="AN542" s="35">
        <v>21</v>
      </c>
      <c r="AO542" s="35">
        <f>I542*0</f>
        <v>0</v>
      </c>
      <c r="AP542" s="35">
        <f>I542*(1-0)</f>
        <v>67</v>
      </c>
      <c r="AQ542" s="78" t="s">
        <v>235</v>
      </c>
      <c r="AV542" s="35">
        <f t="shared" si="346"/>
        <v>1026.88689</v>
      </c>
      <c r="AW542" s="35">
        <f t="shared" si="347"/>
        <v>0</v>
      </c>
      <c r="AX542" s="35">
        <f t="shared" si="348"/>
        <v>1026.88689</v>
      </c>
      <c r="AY542" s="80" t="s">
        <v>1676</v>
      </c>
      <c r="AZ542" s="80" t="s">
        <v>1752</v>
      </c>
      <c r="BA542" s="77" t="s">
        <v>1782</v>
      </c>
      <c r="BC542" s="35">
        <f t="shared" si="349"/>
        <v>1026.88689</v>
      </c>
      <c r="BD542" s="35">
        <f t="shared" si="350"/>
        <v>67</v>
      </c>
      <c r="BE542" s="35">
        <v>0</v>
      </c>
      <c r="BF542" s="35">
        <f>542</f>
        <v>542</v>
      </c>
      <c r="BH542" s="64">
        <f t="shared" si="351"/>
        <v>0</v>
      </c>
      <c r="BI542" s="64">
        <f t="shared" si="352"/>
        <v>1026.88689</v>
      </c>
      <c r="BJ542" s="64">
        <f t="shared" si="353"/>
        <v>1026.88689</v>
      </c>
      <c r="BK542" s="64" t="s">
        <v>1790</v>
      </c>
      <c r="BL542" s="35">
        <v>771</v>
      </c>
    </row>
    <row r="543" spans="1:64">
      <c r="A543" s="47" t="s">
        <v>557</v>
      </c>
      <c r="B543" s="55" t="s">
        <v>69</v>
      </c>
      <c r="C543" s="55" t="s">
        <v>998</v>
      </c>
      <c r="D543" s="165" t="s">
        <v>1491</v>
      </c>
      <c r="E543" s="166"/>
      <c r="F543" s="166"/>
      <c r="G543" s="55" t="s">
        <v>1633</v>
      </c>
      <c r="H543" s="64">
        <v>18.12</v>
      </c>
      <c r="I543" s="64">
        <v>555</v>
      </c>
      <c r="J543" s="64">
        <f t="shared" si="332"/>
        <v>0</v>
      </c>
      <c r="K543" s="64">
        <f t="shared" si="333"/>
        <v>10056.6</v>
      </c>
      <c r="L543" s="64">
        <f t="shared" si="334"/>
        <v>10056.6</v>
      </c>
      <c r="M543" s="73" t="s">
        <v>1657</v>
      </c>
      <c r="N543" s="19"/>
      <c r="Z543" s="35">
        <f t="shared" si="335"/>
        <v>0</v>
      </c>
      <c r="AB543" s="35">
        <f t="shared" si="336"/>
        <v>0</v>
      </c>
      <c r="AC543" s="35">
        <f t="shared" si="337"/>
        <v>0</v>
      </c>
      <c r="AD543" s="35">
        <f t="shared" si="338"/>
        <v>0</v>
      </c>
      <c r="AE543" s="35">
        <f t="shared" si="339"/>
        <v>10056.6</v>
      </c>
      <c r="AF543" s="35">
        <f t="shared" si="340"/>
        <v>0</v>
      </c>
      <c r="AG543" s="35">
        <f t="shared" si="341"/>
        <v>0</v>
      </c>
      <c r="AH543" s="35">
        <f t="shared" si="342"/>
        <v>0</v>
      </c>
      <c r="AI543" s="77" t="s">
        <v>69</v>
      </c>
      <c r="AJ543" s="64">
        <f t="shared" si="343"/>
        <v>0</v>
      </c>
      <c r="AK543" s="64">
        <f t="shared" si="344"/>
        <v>0</v>
      </c>
      <c r="AL543" s="64">
        <f t="shared" si="345"/>
        <v>10056.6</v>
      </c>
      <c r="AN543" s="35">
        <v>21</v>
      </c>
      <c r="AO543" s="35">
        <f>I543*0</f>
        <v>0</v>
      </c>
      <c r="AP543" s="35">
        <f>I543*(1-0)</f>
        <v>555</v>
      </c>
      <c r="AQ543" s="78" t="s">
        <v>235</v>
      </c>
      <c r="AV543" s="35">
        <f t="shared" si="346"/>
        <v>10056.6</v>
      </c>
      <c r="AW543" s="35">
        <f t="shared" si="347"/>
        <v>0</v>
      </c>
      <c r="AX543" s="35">
        <f t="shared" si="348"/>
        <v>10056.6</v>
      </c>
      <c r="AY543" s="80" t="s">
        <v>1676</v>
      </c>
      <c r="AZ543" s="80" t="s">
        <v>1752</v>
      </c>
      <c r="BA543" s="77" t="s">
        <v>1782</v>
      </c>
      <c r="BC543" s="35">
        <f t="shared" si="349"/>
        <v>10056.6</v>
      </c>
      <c r="BD543" s="35">
        <f t="shared" si="350"/>
        <v>555</v>
      </c>
      <c r="BE543" s="35">
        <v>0</v>
      </c>
      <c r="BF543" s="35">
        <f>543</f>
        <v>543</v>
      </c>
      <c r="BH543" s="64">
        <f t="shared" si="351"/>
        <v>0</v>
      </c>
      <c r="BI543" s="64">
        <f t="shared" si="352"/>
        <v>10056.6</v>
      </c>
      <c r="BJ543" s="64">
        <f t="shared" si="353"/>
        <v>10056.6</v>
      </c>
      <c r="BK543" s="64" t="s">
        <v>1790</v>
      </c>
      <c r="BL543" s="35">
        <v>771</v>
      </c>
    </row>
    <row r="544" spans="1:64">
      <c r="A544" s="47" t="s">
        <v>558</v>
      </c>
      <c r="B544" s="55" t="s">
        <v>69</v>
      </c>
      <c r="C544" s="55" t="s">
        <v>999</v>
      </c>
      <c r="D544" s="165" t="s">
        <v>1492</v>
      </c>
      <c r="E544" s="166"/>
      <c r="F544" s="166"/>
      <c r="G544" s="55" t="s">
        <v>1633</v>
      </c>
      <c r="H544" s="64">
        <v>17.16</v>
      </c>
      <c r="I544" s="64">
        <v>260</v>
      </c>
      <c r="J544" s="64">
        <f t="shared" si="332"/>
        <v>0</v>
      </c>
      <c r="K544" s="64">
        <f t="shared" si="333"/>
        <v>4461.6000000000004</v>
      </c>
      <c r="L544" s="64">
        <f t="shared" si="334"/>
        <v>4461.6000000000004</v>
      </c>
      <c r="M544" s="73" t="s">
        <v>1657</v>
      </c>
      <c r="N544" s="19"/>
      <c r="Z544" s="35">
        <f t="shared" si="335"/>
        <v>0</v>
      </c>
      <c r="AB544" s="35">
        <f t="shared" si="336"/>
        <v>0</v>
      </c>
      <c r="AC544" s="35">
        <f t="shared" si="337"/>
        <v>0</v>
      </c>
      <c r="AD544" s="35">
        <f t="shared" si="338"/>
        <v>0</v>
      </c>
      <c r="AE544" s="35">
        <f t="shared" si="339"/>
        <v>4461.6000000000004</v>
      </c>
      <c r="AF544" s="35">
        <f t="shared" si="340"/>
        <v>0</v>
      </c>
      <c r="AG544" s="35">
        <f t="shared" si="341"/>
        <v>0</v>
      </c>
      <c r="AH544" s="35">
        <f t="shared" si="342"/>
        <v>0</v>
      </c>
      <c r="AI544" s="77" t="s">
        <v>69</v>
      </c>
      <c r="AJ544" s="64">
        <f t="shared" si="343"/>
        <v>0</v>
      </c>
      <c r="AK544" s="64">
        <f t="shared" si="344"/>
        <v>0</v>
      </c>
      <c r="AL544" s="64">
        <f t="shared" si="345"/>
        <v>4461.6000000000004</v>
      </c>
      <c r="AN544" s="35">
        <v>21</v>
      </c>
      <c r="AO544" s="35">
        <f>I544*0</f>
        <v>0</v>
      </c>
      <c r="AP544" s="35">
        <f>I544*(1-0)</f>
        <v>260</v>
      </c>
      <c r="AQ544" s="78" t="s">
        <v>235</v>
      </c>
      <c r="AV544" s="35">
        <f t="shared" si="346"/>
        <v>4461.6000000000004</v>
      </c>
      <c r="AW544" s="35">
        <f t="shared" si="347"/>
        <v>0</v>
      </c>
      <c r="AX544" s="35">
        <f t="shared" si="348"/>
        <v>4461.6000000000004</v>
      </c>
      <c r="AY544" s="80" t="s">
        <v>1676</v>
      </c>
      <c r="AZ544" s="80" t="s">
        <v>1752</v>
      </c>
      <c r="BA544" s="77" t="s">
        <v>1782</v>
      </c>
      <c r="BC544" s="35">
        <f t="shared" si="349"/>
        <v>4461.6000000000004</v>
      </c>
      <c r="BD544" s="35">
        <f t="shared" si="350"/>
        <v>260</v>
      </c>
      <c r="BE544" s="35">
        <v>0</v>
      </c>
      <c r="BF544" s="35">
        <f>544</f>
        <v>544</v>
      </c>
      <c r="BH544" s="64">
        <f t="shared" si="351"/>
        <v>0</v>
      </c>
      <c r="BI544" s="64">
        <f t="shared" si="352"/>
        <v>4461.6000000000004</v>
      </c>
      <c r="BJ544" s="64">
        <f t="shared" si="353"/>
        <v>4461.6000000000004</v>
      </c>
      <c r="BK544" s="64" t="s">
        <v>1790</v>
      </c>
      <c r="BL544" s="35">
        <v>771</v>
      </c>
    </row>
    <row r="545" spans="1:64">
      <c r="A545" s="47" t="s">
        <v>559</v>
      </c>
      <c r="B545" s="55" t="s">
        <v>69</v>
      </c>
      <c r="C545" s="55" t="s">
        <v>1000</v>
      </c>
      <c r="D545" s="165" t="s">
        <v>1493</v>
      </c>
      <c r="E545" s="166"/>
      <c r="F545" s="166"/>
      <c r="G545" s="55" t="s">
        <v>1632</v>
      </c>
      <c r="H545" s="64">
        <v>4.8239999999999998</v>
      </c>
      <c r="I545" s="64">
        <v>503</v>
      </c>
      <c r="J545" s="64">
        <f t="shared" si="332"/>
        <v>0</v>
      </c>
      <c r="K545" s="64">
        <f t="shared" si="333"/>
        <v>2426.4719999999998</v>
      </c>
      <c r="L545" s="64">
        <f t="shared" si="334"/>
        <v>2426.4719999999998</v>
      </c>
      <c r="M545" s="73" t="s">
        <v>1657</v>
      </c>
      <c r="N545" s="19"/>
      <c r="Z545" s="35">
        <f t="shared" si="335"/>
        <v>0</v>
      </c>
      <c r="AB545" s="35">
        <f t="shared" si="336"/>
        <v>0</v>
      </c>
      <c r="AC545" s="35">
        <f t="shared" si="337"/>
        <v>0</v>
      </c>
      <c r="AD545" s="35">
        <f t="shared" si="338"/>
        <v>0</v>
      </c>
      <c r="AE545" s="35">
        <f t="shared" si="339"/>
        <v>2426.4719999999998</v>
      </c>
      <c r="AF545" s="35">
        <f t="shared" si="340"/>
        <v>0</v>
      </c>
      <c r="AG545" s="35">
        <f t="shared" si="341"/>
        <v>0</v>
      </c>
      <c r="AH545" s="35">
        <f t="shared" si="342"/>
        <v>0</v>
      </c>
      <c r="AI545" s="77" t="s">
        <v>69</v>
      </c>
      <c r="AJ545" s="64">
        <f t="shared" si="343"/>
        <v>0</v>
      </c>
      <c r="AK545" s="64">
        <f t="shared" si="344"/>
        <v>0</v>
      </c>
      <c r="AL545" s="64">
        <f t="shared" si="345"/>
        <v>2426.4719999999998</v>
      </c>
      <c r="AN545" s="35">
        <v>21</v>
      </c>
      <c r="AO545" s="35">
        <f>I545*0</f>
        <v>0</v>
      </c>
      <c r="AP545" s="35">
        <f>I545*(1-0)</f>
        <v>503</v>
      </c>
      <c r="AQ545" s="78" t="s">
        <v>235</v>
      </c>
      <c r="AV545" s="35">
        <f t="shared" si="346"/>
        <v>2426.4719999999998</v>
      </c>
      <c r="AW545" s="35">
        <f t="shared" si="347"/>
        <v>0</v>
      </c>
      <c r="AX545" s="35">
        <f t="shared" si="348"/>
        <v>2426.4719999999998</v>
      </c>
      <c r="AY545" s="80" t="s">
        <v>1676</v>
      </c>
      <c r="AZ545" s="80" t="s">
        <v>1752</v>
      </c>
      <c r="BA545" s="77" t="s">
        <v>1782</v>
      </c>
      <c r="BC545" s="35">
        <f t="shared" si="349"/>
        <v>2426.4719999999998</v>
      </c>
      <c r="BD545" s="35">
        <f t="shared" si="350"/>
        <v>503</v>
      </c>
      <c r="BE545" s="35">
        <v>0</v>
      </c>
      <c r="BF545" s="35">
        <f>545</f>
        <v>545</v>
      </c>
      <c r="BH545" s="64">
        <f t="shared" si="351"/>
        <v>0</v>
      </c>
      <c r="BI545" s="64">
        <f t="shared" si="352"/>
        <v>2426.4719999999998</v>
      </c>
      <c r="BJ545" s="64">
        <f t="shared" si="353"/>
        <v>2426.4719999999998</v>
      </c>
      <c r="BK545" s="64" t="s">
        <v>1790</v>
      </c>
      <c r="BL545" s="35">
        <v>771</v>
      </c>
    </row>
    <row r="546" spans="1:64">
      <c r="A546" s="48" t="s">
        <v>560</v>
      </c>
      <c r="B546" s="56" t="s">
        <v>69</v>
      </c>
      <c r="C546" s="56" t="s">
        <v>775</v>
      </c>
      <c r="D546" s="170" t="s">
        <v>1177</v>
      </c>
      <c r="E546" s="171"/>
      <c r="F546" s="171"/>
      <c r="G546" s="56" t="s">
        <v>1632</v>
      </c>
      <c r="H546" s="65">
        <v>5.3064</v>
      </c>
      <c r="I546" s="65">
        <v>325</v>
      </c>
      <c r="J546" s="65">
        <f t="shared" si="332"/>
        <v>1724.58</v>
      </c>
      <c r="K546" s="65">
        <f t="shared" si="333"/>
        <v>0</v>
      </c>
      <c r="L546" s="65">
        <f t="shared" si="334"/>
        <v>1724.58</v>
      </c>
      <c r="M546" s="74" t="s">
        <v>1657</v>
      </c>
      <c r="N546" s="19"/>
      <c r="Z546" s="35">
        <f t="shared" si="335"/>
        <v>0</v>
      </c>
      <c r="AB546" s="35">
        <f t="shared" si="336"/>
        <v>0</v>
      </c>
      <c r="AC546" s="35">
        <f t="shared" si="337"/>
        <v>0</v>
      </c>
      <c r="AD546" s="35">
        <f t="shared" si="338"/>
        <v>1724.58</v>
      </c>
      <c r="AE546" s="35">
        <f t="shared" si="339"/>
        <v>0</v>
      </c>
      <c r="AF546" s="35">
        <f t="shared" si="340"/>
        <v>0</v>
      </c>
      <c r="AG546" s="35">
        <f t="shared" si="341"/>
        <v>0</v>
      </c>
      <c r="AH546" s="35">
        <f t="shared" si="342"/>
        <v>0</v>
      </c>
      <c r="AI546" s="77" t="s">
        <v>69</v>
      </c>
      <c r="AJ546" s="65">
        <f t="shared" si="343"/>
        <v>0</v>
      </c>
      <c r="AK546" s="65">
        <f t="shared" si="344"/>
        <v>0</v>
      </c>
      <c r="AL546" s="65">
        <f t="shared" si="345"/>
        <v>1724.58</v>
      </c>
      <c r="AN546" s="35">
        <v>21</v>
      </c>
      <c r="AO546" s="35">
        <f>I546*1</f>
        <v>325</v>
      </c>
      <c r="AP546" s="35">
        <f>I546*(1-1)</f>
        <v>0</v>
      </c>
      <c r="AQ546" s="79" t="s">
        <v>235</v>
      </c>
      <c r="AV546" s="35">
        <f t="shared" si="346"/>
        <v>1724.58</v>
      </c>
      <c r="AW546" s="35">
        <f t="shared" si="347"/>
        <v>1724.58</v>
      </c>
      <c r="AX546" s="35">
        <f t="shared" si="348"/>
        <v>0</v>
      </c>
      <c r="AY546" s="80" t="s">
        <v>1676</v>
      </c>
      <c r="AZ546" s="80" t="s">
        <v>1752</v>
      </c>
      <c r="BA546" s="77" t="s">
        <v>1782</v>
      </c>
      <c r="BC546" s="35">
        <f t="shared" si="349"/>
        <v>1724.58</v>
      </c>
      <c r="BD546" s="35">
        <f t="shared" si="350"/>
        <v>325</v>
      </c>
      <c r="BE546" s="35">
        <v>0</v>
      </c>
      <c r="BF546" s="35">
        <f>546</f>
        <v>546</v>
      </c>
      <c r="BH546" s="65">
        <f t="shared" si="351"/>
        <v>1724.58</v>
      </c>
      <c r="BI546" s="65">
        <f t="shared" si="352"/>
        <v>0</v>
      </c>
      <c r="BJ546" s="65">
        <f t="shared" si="353"/>
        <v>1724.58</v>
      </c>
      <c r="BK546" s="65" t="s">
        <v>1642</v>
      </c>
      <c r="BL546" s="35">
        <v>771</v>
      </c>
    </row>
    <row r="547" spans="1:64">
      <c r="A547" s="47" t="s">
        <v>561</v>
      </c>
      <c r="B547" s="55" t="s">
        <v>69</v>
      </c>
      <c r="C547" s="55" t="s">
        <v>777</v>
      </c>
      <c r="D547" s="165" t="s">
        <v>1179</v>
      </c>
      <c r="E547" s="166"/>
      <c r="F547" s="166"/>
      <c r="G547" s="55" t="s">
        <v>1634</v>
      </c>
      <c r="H547" s="64">
        <v>0.35653000000000001</v>
      </c>
      <c r="I547" s="64">
        <v>438</v>
      </c>
      <c r="J547" s="64">
        <f t="shared" si="332"/>
        <v>0</v>
      </c>
      <c r="K547" s="64">
        <f t="shared" si="333"/>
        <v>156.16014000000001</v>
      </c>
      <c r="L547" s="64">
        <f t="shared" si="334"/>
        <v>156.16014000000001</v>
      </c>
      <c r="M547" s="73" t="s">
        <v>1657</v>
      </c>
      <c r="N547" s="19"/>
      <c r="Z547" s="35">
        <f t="shared" si="335"/>
        <v>156.16014000000001</v>
      </c>
      <c r="AB547" s="35">
        <f t="shared" si="336"/>
        <v>0</v>
      </c>
      <c r="AC547" s="35">
        <f t="shared" si="337"/>
        <v>0</v>
      </c>
      <c r="AD547" s="35">
        <f t="shared" si="338"/>
        <v>0</v>
      </c>
      <c r="AE547" s="35">
        <f t="shared" si="339"/>
        <v>0</v>
      </c>
      <c r="AF547" s="35">
        <f t="shared" si="340"/>
        <v>0</v>
      </c>
      <c r="AG547" s="35">
        <f t="shared" si="341"/>
        <v>0</v>
      </c>
      <c r="AH547" s="35">
        <f t="shared" si="342"/>
        <v>0</v>
      </c>
      <c r="AI547" s="77" t="s">
        <v>69</v>
      </c>
      <c r="AJ547" s="64">
        <f t="shared" si="343"/>
        <v>0</v>
      </c>
      <c r="AK547" s="64">
        <f t="shared" si="344"/>
        <v>0</v>
      </c>
      <c r="AL547" s="64">
        <f t="shared" si="345"/>
        <v>156.16014000000001</v>
      </c>
      <c r="AN547" s="35">
        <v>21</v>
      </c>
      <c r="AO547" s="35">
        <f>I547*0</f>
        <v>0</v>
      </c>
      <c r="AP547" s="35">
        <f>I547*(1-0)</f>
        <v>438</v>
      </c>
      <c r="AQ547" s="78" t="s">
        <v>112</v>
      </c>
      <c r="AV547" s="35">
        <f t="shared" si="346"/>
        <v>156.16014000000001</v>
      </c>
      <c r="AW547" s="35">
        <f t="shared" si="347"/>
        <v>0</v>
      </c>
      <c r="AX547" s="35">
        <f t="shared" si="348"/>
        <v>156.16014000000001</v>
      </c>
      <c r="AY547" s="80" t="s">
        <v>1676</v>
      </c>
      <c r="AZ547" s="80" t="s">
        <v>1752</v>
      </c>
      <c r="BA547" s="77" t="s">
        <v>1782</v>
      </c>
      <c r="BC547" s="35">
        <f t="shared" si="349"/>
        <v>156.16014000000001</v>
      </c>
      <c r="BD547" s="35">
        <f t="shared" si="350"/>
        <v>438</v>
      </c>
      <c r="BE547" s="35">
        <v>0</v>
      </c>
      <c r="BF547" s="35">
        <f>547</f>
        <v>547</v>
      </c>
      <c r="BH547" s="64">
        <f t="shared" si="351"/>
        <v>0</v>
      </c>
      <c r="BI547" s="64">
        <f t="shared" si="352"/>
        <v>156.16014000000001</v>
      </c>
      <c r="BJ547" s="64">
        <f t="shared" si="353"/>
        <v>156.16014000000001</v>
      </c>
      <c r="BK547" s="64" t="s">
        <v>1790</v>
      </c>
      <c r="BL547" s="35">
        <v>771</v>
      </c>
    </row>
    <row r="548" spans="1:64">
      <c r="A548" s="46"/>
      <c r="B548" s="54" t="s">
        <v>69</v>
      </c>
      <c r="C548" s="54" t="s">
        <v>142</v>
      </c>
      <c r="D548" s="163" t="s">
        <v>193</v>
      </c>
      <c r="E548" s="164"/>
      <c r="F548" s="164"/>
      <c r="G548" s="61" t="s">
        <v>57</v>
      </c>
      <c r="H548" s="61" t="s">
        <v>57</v>
      </c>
      <c r="I548" s="61" t="s">
        <v>57</v>
      </c>
      <c r="J548" s="83">
        <f>SUM(J549:J555)</f>
        <v>0</v>
      </c>
      <c r="K548" s="83">
        <f>SUM(K549:K555)</f>
        <v>98700.712200000009</v>
      </c>
      <c r="L548" s="83">
        <f>SUM(L549:L555)</f>
        <v>98700.712200000009</v>
      </c>
      <c r="M548" s="72"/>
      <c r="N548" s="19"/>
      <c r="AI548" s="77" t="s">
        <v>69</v>
      </c>
      <c r="AS548" s="83">
        <f>SUM(AJ549:AJ555)</f>
        <v>0</v>
      </c>
      <c r="AT548" s="83">
        <f>SUM(AK549:AK555)</f>
        <v>0</v>
      </c>
      <c r="AU548" s="83">
        <f>SUM(AL549:AL555)</f>
        <v>98700.712200000009</v>
      </c>
    </row>
    <row r="549" spans="1:64">
      <c r="A549" s="47" t="s">
        <v>562</v>
      </c>
      <c r="B549" s="55" t="s">
        <v>69</v>
      </c>
      <c r="C549" s="55" t="s">
        <v>1001</v>
      </c>
      <c r="D549" s="165" t="s">
        <v>1494</v>
      </c>
      <c r="E549" s="166"/>
      <c r="F549" s="166"/>
      <c r="G549" s="55" t="s">
        <v>1638</v>
      </c>
      <c r="H549" s="64">
        <v>14.7</v>
      </c>
      <c r="I549" s="64">
        <v>2390</v>
      </c>
      <c r="J549" s="64">
        <f>H549*AO549</f>
        <v>0</v>
      </c>
      <c r="K549" s="64">
        <f>H549*AP549</f>
        <v>35133</v>
      </c>
      <c r="L549" s="64">
        <f>H549*I549</f>
        <v>35133</v>
      </c>
      <c r="M549" s="73" t="s">
        <v>1657</v>
      </c>
      <c r="N549" s="19"/>
      <c r="Z549" s="35">
        <f>IF(AQ549="5",BJ549,0)</f>
        <v>0</v>
      </c>
      <c r="AB549" s="35">
        <f>IF(AQ549="1",BH549,0)</f>
        <v>0</v>
      </c>
      <c r="AC549" s="35">
        <f>IF(AQ549="1",BI549,0)</f>
        <v>35133</v>
      </c>
      <c r="AD549" s="35">
        <f>IF(AQ549="7",BH549,0)</f>
        <v>0</v>
      </c>
      <c r="AE549" s="35">
        <f>IF(AQ549="7",BI549,0)</f>
        <v>0</v>
      </c>
      <c r="AF549" s="35">
        <f>IF(AQ549="2",BH549,0)</f>
        <v>0</v>
      </c>
      <c r="AG549" s="35">
        <f>IF(AQ549="2",BI549,0)</f>
        <v>0</v>
      </c>
      <c r="AH549" s="35">
        <f>IF(AQ549="0",BJ549,0)</f>
        <v>0</v>
      </c>
      <c r="AI549" s="77" t="s">
        <v>69</v>
      </c>
      <c r="AJ549" s="64">
        <f>IF(AN549=0,L549,0)</f>
        <v>0</v>
      </c>
      <c r="AK549" s="64">
        <f>IF(AN549=15,L549,0)</f>
        <v>0</v>
      </c>
      <c r="AL549" s="64">
        <f>IF(AN549=21,L549,0)</f>
        <v>35133</v>
      </c>
      <c r="AN549" s="35">
        <v>21</v>
      </c>
      <c r="AO549" s="35">
        <f>I549*0</f>
        <v>0</v>
      </c>
      <c r="AP549" s="35">
        <f>I549*(1-0)</f>
        <v>2390</v>
      </c>
      <c r="AQ549" s="78" t="s">
        <v>109</v>
      </c>
      <c r="AV549" s="35">
        <f>AW549+AX549</f>
        <v>35133</v>
      </c>
      <c r="AW549" s="35">
        <f>H549*AO549</f>
        <v>0</v>
      </c>
      <c r="AX549" s="35">
        <f>H549*AP549</f>
        <v>35133</v>
      </c>
      <c r="AY549" s="80" t="s">
        <v>1681</v>
      </c>
      <c r="AZ549" s="80" t="s">
        <v>1753</v>
      </c>
      <c r="BA549" s="77" t="s">
        <v>1782</v>
      </c>
      <c r="BC549" s="35">
        <f>AW549+AX549</f>
        <v>35133</v>
      </c>
      <c r="BD549" s="35">
        <f>I549/(100-BE549)*100</f>
        <v>2390</v>
      </c>
      <c r="BE549" s="35">
        <v>0</v>
      </c>
      <c r="BF549" s="35">
        <f>549</f>
        <v>549</v>
      </c>
      <c r="BH549" s="64">
        <f>H549*AO549</f>
        <v>0</v>
      </c>
      <c r="BI549" s="64">
        <f>H549*AP549</f>
        <v>35133</v>
      </c>
      <c r="BJ549" s="64">
        <f>H549*I549</f>
        <v>35133</v>
      </c>
      <c r="BK549" s="64" t="s">
        <v>1790</v>
      </c>
      <c r="BL549" s="35">
        <v>96</v>
      </c>
    </row>
    <row r="550" spans="1:64">
      <c r="A550" s="47" t="s">
        <v>563</v>
      </c>
      <c r="B550" s="55" t="s">
        <v>69</v>
      </c>
      <c r="C550" s="55" t="s">
        <v>1002</v>
      </c>
      <c r="D550" s="165" t="s">
        <v>1495</v>
      </c>
      <c r="E550" s="166"/>
      <c r="F550" s="166"/>
      <c r="G550" s="55" t="s">
        <v>1638</v>
      </c>
      <c r="H550" s="64">
        <v>14.606400000000001</v>
      </c>
      <c r="I550" s="64">
        <v>2074</v>
      </c>
      <c r="J550" s="64">
        <f>H550*AO550</f>
        <v>0</v>
      </c>
      <c r="K550" s="64">
        <f>H550*AP550</f>
        <v>30293.673600000002</v>
      </c>
      <c r="L550" s="64">
        <f>H550*I550</f>
        <v>30293.673600000002</v>
      </c>
      <c r="M550" s="73" t="s">
        <v>1657</v>
      </c>
      <c r="N550" s="19"/>
      <c r="Z550" s="35">
        <f>IF(AQ550="5",BJ550,0)</f>
        <v>0</v>
      </c>
      <c r="AB550" s="35">
        <f>IF(AQ550="1",BH550,0)</f>
        <v>0</v>
      </c>
      <c r="AC550" s="35">
        <f>IF(AQ550="1",BI550,0)</f>
        <v>30293.673600000002</v>
      </c>
      <c r="AD550" s="35">
        <f>IF(AQ550="7",BH550,0)</f>
        <v>0</v>
      </c>
      <c r="AE550" s="35">
        <f>IF(AQ550="7",BI550,0)</f>
        <v>0</v>
      </c>
      <c r="AF550" s="35">
        <f>IF(AQ550="2",BH550,0)</f>
        <v>0</v>
      </c>
      <c r="AG550" s="35">
        <f>IF(AQ550="2",BI550,0)</f>
        <v>0</v>
      </c>
      <c r="AH550" s="35">
        <f>IF(AQ550="0",BJ550,0)</f>
        <v>0</v>
      </c>
      <c r="AI550" s="77" t="s">
        <v>69</v>
      </c>
      <c r="AJ550" s="64">
        <f>IF(AN550=0,L550,0)</f>
        <v>0</v>
      </c>
      <c r="AK550" s="64">
        <f>IF(AN550=15,L550,0)</f>
        <v>0</v>
      </c>
      <c r="AL550" s="64">
        <f>IF(AN550=21,L550,0)</f>
        <v>30293.673600000002</v>
      </c>
      <c r="AN550" s="35">
        <v>21</v>
      </c>
      <c r="AO550" s="35">
        <f>I550*0</f>
        <v>0</v>
      </c>
      <c r="AP550" s="35">
        <f>I550*(1-0)</f>
        <v>2074</v>
      </c>
      <c r="AQ550" s="78" t="s">
        <v>109</v>
      </c>
      <c r="AV550" s="35">
        <f>AW550+AX550</f>
        <v>30293.673600000002</v>
      </c>
      <c r="AW550" s="35">
        <f>H550*AO550</f>
        <v>0</v>
      </c>
      <c r="AX550" s="35">
        <f>H550*AP550</f>
        <v>30293.673600000002</v>
      </c>
      <c r="AY550" s="80" t="s">
        <v>1681</v>
      </c>
      <c r="AZ550" s="80" t="s">
        <v>1753</v>
      </c>
      <c r="BA550" s="77" t="s">
        <v>1782</v>
      </c>
      <c r="BC550" s="35">
        <f>AW550+AX550</f>
        <v>30293.673600000002</v>
      </c>
      <c r="BD550" s="35">
        <f>I550/(100-BE550)*100</f>
        <v>2074</v>
      </c>
      <c r="BE550" s="35">
        <v>0</v>
      </c>
      <c r="BF550" s="35">
        <f>550</f>
        <v>550</v>
      </c>
      <c r="BH550" s="64">
        <f>H550*AO550</f>
        <v>0</v>
      </c>
      <c r="BI550" s="64">
        <f>H550*AP550</f>
        <v>30293.673600000002</v>
      </c>
      <c r="BJ550" s="64">
        <f>H550*I550</f>
        <v>30293.673600000002</v>
      </c>
      <c r="BK550" s="64" t="s">
        <v>1790</v>
      </c>
      <c r="BL550" s="35">
        <v>96</v>
      </c>
    </row>
    <row r="551" spans="1:64">
      <c r="A551" s="19"/>
      <c r="C551" s="59" t="s">
        <v>730</v>
      </c>
      <c r="D551" s="167" t="s">
        <v>1496</v>
      </c>
      <c r="E551" s="168"/>
      <c r="F551" s="168"/>
      <c r="G551" s="168"/>
      <c r="H551" s="168"/>
      <c r="I551" s="168"/>
      <c r="J551" s="168"/>
      <c r="K551" s="168"/>
      <c r="L551" s="168"/>
      <c r="M551" s="169"/>
      <c r="N551" s="19"/>
    </row>
    <row r="552" spans="1:64">
      <c r="A552" s="47" t="s">
        <v>564</v>
      </c>
      <c r="B552" s="55" t="s">
        <v>69</v>
      </c>
      <c r="C552" s="55" t="s">
        <v>1003</v>
      </c>
      <c r="D552" s="165" t="s">
        <v>1497</v>
      </c>
      <c r="E552" s="166"/>
      <c r="F552" s="166"/>
      <c r="G552" s="55" t="s">
        <v>1638</v>
      </c>
      <c r="H552" s="64">
        <v>14.606400000000001</v>
      </c>
      <c r="I552" s="64">
        <v>1174</v>
      </c>
      <c r="J552" s="64">
        <f>H552*AO552</f>
        <v>0</v>
      </c>
      <c r="K552" s="64">
        <f>H552*AP552</f>
        <v>17147.9136</v>
      </c>
      <c r="L552" s="64">
        <f>H552*I552</f>
        <v>17147.9136</v>
      </c>
      <c r="M552" s="73" t="s">
        <v>1657</v>
      </c>
      <c r="N552" s="19"/>
      <c r="Z552" s="35">
        <f>IF(AQ552="5",BJ552,0)</f>
        <v>0</v>
      </c>
      <c r="AB552" s="35">
        <f>IF(AQ552="1",BH552,0)</f>
        <v>0</v>
      </c>
      <c r="AC552" s="35">
        <f>IF(AQ552="1",BI552,0)</f>
        <v>17147.9136</v>
      </c>
      <c r="AD552" s="35">
        <f>IF(AQ552="7",BH552,0)</f>
        <v>0</v>
      </c>
      <c r="AE552" s="35">
        <f>IF(AQ552="7",BI552,0)</f>
        <v>0</v>
      </c>
      <c r="AF552" s="35">
        <f>IF(AQ552="2",BH552,0)</f>
        <v>0</v>
      </c>
      <c r="AG552" s="35">
        <f>IF(AQ552="2",BI552,0)</f>
        <v>0</v>
      </c>
      <c r="AH552" s="35">
        <f>IF(AQ552="0",BJ552,0)</f>
        <v>0</v>
      </c>
      <c r="AI552" s="77" t="s">
        <v>69</v>
      </c>
      <c r="AJ552" s="64">
        <f>IF(AN552=0,L552,0)</f>
        <v>0</v>
      </c>
      <c r="AK552" s="64">
        <f>IF(AN552=15,L552,0)</f>
        <v>0</v>
      </c>
      <c r="AL552" s="64">
        <f>IF(AN552=21,L552,0)</f>
        <v>17147.9136</v>
      </c>
      <c r="AN552" s="35">
        <v>21</v>
      </c>
      <c r="AO552" s="35">
        <f>I552*0</f>
        <v>0</v>
      </c>
      <c r="AP552" s="35">
        <f>I552*(1-0)</f>
        <v>1174</v>
      </c>
      <c r="AQ552" s="78" t="s">
        <v>109</v>
      </c>
      <c r="AV552" s="35">
        <f>AW552+AX552</f>
        <v>17147.9136</v>
      </c>
      <c r="AW552" s="35">
        <f>H552*AO552</f>
        <v>0</v>
      </c>
      <c r="AX552" s="35">
        <f>H552*AP552</f>
        <v>17147.9136</v>
      </c>
      <c r="AY552" s="80" t="s">
        <v>1681</v>
      </c>
      <c r="AZ552" s="80" t="s">
        <v>1753</v>
      </c>
      <c r="BA552" s="77" t="s">
        <v>1782</v>
      </c>
      <c r="BC552" s="35">
        <f>AW552+AX552</f>
        <v>17147.9136</v>
      </c>
      <c r="BD552" s="35">
        <f>I552/(100-BE552)*100</f>
        <v>1174</v>
      </c>
      <c r="BE552" s="35">
        <v>0</v>
      </c>
      <c r="BF552" s="35">
        <f>552</f>
        <v>552</v>
      </c>
      <c r="BH552" s="64">
        <f>H552*AO552</f>
        <v>0</v>
      </c>
      <c r="BI552" s="64">
        <f>H552*AP552</f>
        <v>17147.9136</v>
      </c>
      <c r="BJ552" s="64">
        <f>H552*I552</f>
        <v>17147.9136</v>
      </c>
      <c r="BK552" s="64" t="s">
        <v>1790</v>
      </c>
      <c r="BL552" s="35">
        <v>96</v>
      </c>
    </row>
    <row r="553" spans="1:64">
      <c r="A553" s="47" t="s">
        <v>565</v>
      </c>
      <c r="B553" s="55" t="s">
        <v>69</v>
      </c>
      <c r="C553" s="55" t="s">
        <v>795</v>
      </c>
      <c r="D553" s="165" t="s">
        <v>1198</v>
      </c>
      <c r="E553" s="166"/>
      <c r="F553" s="166"/>
      <c r="G553" s="55" t="s">
        <v>1633</v>
      </c>
      <c r="H553" s="64">
        <v>91.515000000000001</v>
      </c>
      <c r="I553" s="64">
        <v>19</v>
      </c>
      <c r="J553" s="64">
        <f>H553*AO553</f>
        <v>0</v>
      </c>
      <c r="K553" s="64">
        <f>H553*AP553</f>
        <v>1738.7850000000001</v>
      </c>
      <c r="L553" s="64">
        <f>H553*I553</f>
        <v>1738.7850000000001</v>
      </c>
      <c r="M553" s="73" t="s">
        <v>1657</v>
      </c>
      <c r="N553" s="19"/>
      <c r="Z553" s="35">
        <f>IF(AQ553="5",BJ553,0)</f>
        <v>0</v>
      </c>
      <c r="AB553" s="35">
        <f>IF(AQ553="1",BH553,0)</f>
        <v>0</v>
      </c>
      <c r="AC553" s="35">
        <f>IF(AQ553="1",BI553,0)</f>
        <v>1738.7850000000001</v>
      </c>
      <c r="AD553" s="35">
        <f>IF(AQ553="7",BH553,0)</f>
        <v>0</v>
      </c>
      <c r="AE553" s="35">
        <f>IF(AQ553="7",BI553,0)</f>
        <v>0</v>
      </c>
      <c r="AF553" s="35">
        <f>IF(AQ553="2",BH553,0)</f>
        <v>0</v>
      </c>
      <c r="AG553" s="35">
        <f>IF(AQ553="2",BI553,0)</f>
        <v>0</v>
      </c>
      <c r="AH553" s="35">
        <f>IF(AQ553="0",BJ553,0)</f>
        <v>0</v>
      </c>
      <c r="AI553" s="77" t="s">
        <v>69</v>
      </c>
      <c r="AJ553" s="64">
        <f>IF(AN553=0,L553,0)</f>
        <v>0</v>
      </c>
      <c r="AK553" s="64">
        <f>IF(AN553=15,L553,0)</f>
        <v>0</v>
      </c>
      <c r="AL553" s="64">
        <f>IF(AN553=21,L553,0)</f>
        <v>1738.7850000000001</v>
      </c>
      <c r="AN553" s="35">
        <v>21</v>
      </c>
      <c r="AO553" s="35">
        <f>I553*0</f>
        <v>0</v>
      </c>
      <c r="AP553" s="35">
        <f>I553*(1-0)</f>
        <v>19</v>
      </c>
      <c r="AQ553" s="78" t="s">
        <v>109</v>
      </c>
      <c r="AV553" s="35">
        <f>AW553+AX553</f>
        <v>1738.7850000000001</v>
      </c>
      <c r="AW553" s="35">
        <f>H553*AO553</f>
        <v>0</v>
      </c>
      <c r="AX553" s="35">
        <f>H553*AP553</f>
        <v>1738.7850000000001</v>
      </c>
      <c r="AY553" s="80" t="s">
        <v>1681</v>
      </c>
      <c r="AZ553" s="80" t="s">
        <v>1753</v>
      </c>
      <c r="BA553" s="77" t="s">
        <v>1782</v>
      </c>
      <c r="BC553" s="35">
        <f>AW553+AX553</f>
        <v>1738.7850000000001</v>
      </c>
      <c r="BD553" s="35">
        <f>I553/(100-BE553)*100</f>
        <v>19</v>
      </c>
      <c r="BE553" s="35">
        <v>0</v>
      </c>
      <c r="BF553" s="35">
        <f>553</f>
        <v>553</v>
      </c>
      <c r="BH553" s="64">
        <f>H553*AO553</f>
        <v>0</v>
      </c>
      <c r="BI553" s="64">
        <f>H553*AP553</f>
        <v>1738.7850000000001</v>
      </c>
      <c r="BJ553" s="64">
        <f>H553*I553</f>
        <v>1738.7850000000001</v>
      </c>
      <c r="BK553" s="64" t="s">
        <v>1790</v>
      </c>
      <c r="BL553" s="35">
        <v>96</v>
      </c>
    </row>
    <row r="554" spans="1:64">
      <c r="A554" s="47" t="s">
        <v>566</v>
      </c>
      <c r="B554" s="55" t="s">
        <v>69</v>
      </c>
      <c r="C554" s="55" t="s">
        <v>1004</v>
      </c>
      <c r="D554" s="165" t="s">
        <v>1498</v>
      </c>
      <c r="E554" s="166"/>
      <c r="F554" s="166"/>
      <c r="G554" s="55" t="s">
        <v>1632</v>
      </c>
      <c r="H554" s="64">
        <v>182.58</v>
      </c>
      <c r="I554" s="64">
        <v>47</v>
      </c>
      <c r="J554" s="64">
        <f>H554*AO554</f>
        <v>0</v>
      </c>
      <c r="K554" s="64">
        <f>H554*AP554</f>
        <v>8581.26</v>
      </c>
      <c r="L554" s="64">
        <f>H554*I554</f>
        <v>8581.26</v>
      </c>
      <c r="M554" s="73" t="s">
        <v>1657</v>
      </c>
      <c r="N554" s="19"/>
      <c r="Z554" s="35">
        <f>IF(AQ554="5",BJ554,0)</f>
        <v>0</v>
      </c>
      <c r="AB554" s="35">
        <f>IF(AQ554="1",BH554,0)</f>
        <v>0</v>
      </c>
      <c r="AC554" s="35">
        <f>IF(AQ554="1",BI554,0)</f>
        <v>8581.26</v>
      </c>
      <c r="AD554" s="35">
        <f>IF(AQ554="7",BH554,0)</f>
        <v>0</v>
      </c>
      <c r="AE554" s="35">
        <f>IF(AQ554="7",BI554,0)</f>
        <v>0</v>
      </c>
      <c r="AF554" s="35">
        <f>IF(AQ554="2",BH554,0)</f>
        <v>0</v>
      </c>
      <c r="AG554" s="35">
        <f>IF(AQ554="2",BI554,0)</f>
        <v>0</v>
      </c>
      <c r="AH554" s="35">
        <f>IF(AQ554="0",BJ554,0)</f>
        <v>0</v>
      </c>
      <c r="AI554" s="77" t="s">
        <v>69</v>
      </c>
      <c r="AJ554" s="64">
        <f>IF(AN554=0,L554,0)</f>
        <v>0</v>
      </c>
      <c r="AK554" s="64">
        <f>IF(AN554=15,L554,0)</f>
        <v>0</v>
      </c>
      <c r="AL554" s="64">
        <f>IF(AN554=21,L554,0)</f>
        <v>8581.26</v>
      </c>
      <c r="AN554" s="35">
        <v>21</v>
      </c>
      <c r="AO554" s="35">
        <f>I554*0</f>
        <v>0</v>
      </c>
      <c r="AP554" s="35">
        <f>I554*(1-0)</f>
        <v>47</v>
      </c>
      <c r="AQ554" s="78" t="s">
        <v>109</v>
      </c>
      <c r="AV554" s="35">
        <f>AW554+AX554</f>
        <v>8581.26</v>
      </c>
      <c r="AW554" s="35">
        <f>H554*AO554</f>
        <v>0</v>
      </c>
      <c r="AX554" s="35">
        <f>H554*AP554</f>
        <v>8581.26</v>
      </c>
      <c r="AY554" s="80" t="s">
        <v>1681</v>
      </c>
      <c r="AZ554" s="80" t="s">
        <v>1753</v>
      </c>
      <c r="BA554" s="77" t="s">
        <v>1782</v>
      </c>
      <c r="BC554" s="35">
        <f>AW554+AX554</f>
        <v>8581.26</v>
      </c>
      <c r="BD554" s="35">
        <f>I554/(100-BE554)*100</f>
        <v>47</v>
      </c>
      <c r="BE554" s="35">
        <v>0</v>
      </c>
      <c r="BF554" s="35">
        <f>554</f>
        <v>554</v>
      </c>
      <c r="BH554" s="64">
        <f>H554*AO554</f>
        <v>0</v>
      </c>
      <c r="BI554" s="64">
        <f>H554*AP554</f>
        <v>8581.26</v>
      </c>
      <c r="BJ554" s="64">
        <f>H554*I554</f>
        <v>8581.26</v>
      </c>
      <c r="BK554" s="64" t="s">
        <v>1790</v>
      </c>
      <c r="BL554" s="35">
        <v>96</v>
      </c>
    </row>
    <row r="555" spans="1:64">
      <c r="A555" s="47" t="s">
        <v>567</v>
      </c>
      <c r="B555" s="55" t="s">
        <v>69</v>
      </c>
      <c r="C555" s="55" t="s">
        <v>1005</v>
      </c>
      <c r="D555" s="165" t="s">
        <v>1499</v>
      </c>
      <c r="E555" s="166"/>
      <c r="F555" s="166"/>
      <c r="G555" s="55" t="s">
        <v>1638</v>
      </c>
      <c r="H555" s="64">
        <v>22.68</v>
      </c>
      <c r="I555" s="64">
        <v>256</v>
      </c>
      <c r="J555" s="64">
        <f>H555*AO555</f>
        <v>0</v>
      </c>
      <c r="K555" s="64">
        <f>H555*AP555</f>
        <v>5806.08</v>
      </c>
      <c r="L555" s="64">
        <f>H555*I555</f>
        <v>5806.08</v>
      </c>
      <c r="M555" s="73" t="s">
        <v>1657</v>
      </c>
      <c r="N555" s="19"/>
      <c r="Z555" s="35">
        <f>IF(AQ555="5",BJ555,0)</f>
        <v>0</v>
      </c>
      <c r="AB555" s="35">
        <f>IF(AQ555="1",BH555,0)</f>
        <v>0</v>
      </c>
      <c r="AC555" s="35">
        <f>IF(AQ555="1",BI555,0)</f>
        <v>5806.08</v>
      </c>
      <c r="AD555" s="35">
        <f>IF(AQ555="7",BH555,0)</f>
        <v>0</v>
      </c>
      <c r="AE555" s="35">
        <f>IF(AQ555="7",BI555,0)</f>
        <v>0</v>
      </c>
      <c r="AF555" s="35">
        <f>IF(AQ555="2",BH555,0)</f>
        <v>0</v>
      </c>
      <c r="AG555" s="35">
        <f>IF(AQ555="2",BI555,0)</f>
        <v>0</v>
      </c>
      <c r="AH555" s="35">
        <f>IF(AQ555="0",BJ555,0)</f>
        <v>0</v>
      </c>
      <c r="AI555" s="77" t="s">
        <v>69</v>
      </c>
      <c r="AJ555" s="64">
        <f>IF(AN555=0,L555,0)</f>
        <v>0</v>
      </c>
      <c r="AK555" s="64">
        <f>IF(AN555=15,L555,0)</f>
        <v>0</v>
      </c>
      <c r="AL555" s="64">
        <f>IF(AN555=21,L555,0)</f>
        <v>5806.08</v>
      </c>
      <c r="AN555" s="35">
        <v>21</v>
      </c>
      <c r="AO555" s="35">
        <f>I555*0</f>
        <v>0</v>
      </c>
      <c r="AP555" s="35">
        <f>I555*(1-0)</f>
        <v>256</v>
      </c>
      <c r="AQ555" s="78" t="s">
        <v>109</v>
      </c>
      <c r="AV555" s="35">
        <f>AW555+AX555</f>
        <v>5806.08</v>
      </c>
      <c r="AW555" s="35">
        <f>H555*AO555</f>
        <v>0</v>
      </c>
      <c r="AX555" s="35">
        <f>H555*AP555</f>
        <v>5806.08</v>
      </c>
      <c r="AY555" s="80" t="s">
        <v>1681</v>
      </c>
      <c r="AZ555" s="80" t="s">
        <v>1753</v>
      </c>
      <c r="BA555" s="77" t="s">
        <v>1782</v>
      </c>
      <c r="BC555" s="35">
        <f>AW555+AX555</f>
        <v>5806.08</v>
      </c>
      <c r="BD555" s="35">
        <f>I555/(100-BE555)*100</f>
        <v>256</v>
      </c>
      <c r="BE555" s="35">
        <v>0</v>
      </c>
      <c r="BF555" s="35">
        <f>555</f>
        <v>555</v>
      </c>
      <c r="BH555" s="64">
        <f>H555*AO555</f>
        <v>0</v>
      </c>
      <c r="BI555" s="64">
        <f>H555*AP555</f>
        <v>5806.08</v>
      </c>
      <c r="BJ555" s="64">
        <f>H555*I555</f>
        <v>5806.08</v>
      </c>
      <c r="BK555" s="64" t="s">
        <v>1790</v>
      </c>
      <c r="BL555" s="35">
        <v>96</v>
      </c>
    </row>
    <row r="556" spans="1:64">
      <c r="A556" s="19"/>
      <c r="C556" s="59" t="s">
        <v>730</v>
      </c>
      <c r="D556" s="167" t="s">
        <v>1500</v>
      </c>
      <c r="E556" s="168"/>
      <c r="F556" s="168"/>
      <c r="G556" s="168"/>
      <c r="H556" s="168"/>
      <c r="I556" s="168"/>
      <c r="J556" s="168"/>
      <c r="K556" s="168"/>
      <c r="L556" s="168"/>
      <c r="M556" s="169"/>
      <c r="N556" s="19"/>
    </row>
    <row r="557" spans="1:64">
      <c r="A557" s="46"/>
      <c r="B557" s="54" t="s">
        <v>69</v>
      </c>
      <c r="C557" s="54" t="s">
        <v>145</v>
      </c>
      <c r="D557" s="163" t="s">
        <v>196</v>
      </c>
      <c r="E557" s="164"/>
      <c r="F557" s="164"/>
      <c r="G557" s="61" t="s">
        <v>57</v>
      </c>
      <c r="H557" s="61" t="s">
        <v>57</v>
      </c>
      <c r="I557" s="61" t="s">
        <v>57</v>
      </c>
      <c r="J557" s="83">
        <f>SUM(J558:J564)</f>
        <v>0</v>
      </c>
      <c r="K557" s="83">
        <f>SUM(K558:K564)</f>
        <v>135140.60763000001</v>
      </c>
      <c r="L557" s="83">
        <f>SUM(L558:L564)</f>
        <v>135140.60763000001</v>
      </c>
      <c r="M557" s="72"/>
      <c r="N557" s="19"/>
      <c r="AI557" s="77" t="s">
        <v>69</v>
      </c>
      <c r="AS557" s="83">
        <f>SUM(AJ558:AJ564)</f>
        <v>0</v>
      </c>
      <c r="AT557" s="83">
        <f>SUM(AK558:AK564)</f>
        <v>0</v>
      </c>
      <c r="AU557" s="83">
        <f>SUM(AL558:AL564)</f>
        <v>135140.60763000001</v>
      </c>
    </row>
    <row r="558" spans="1:64">
      <c r="A558" s="47" t="s">
        <v>568</v>
      </c>
      <c r="B558" s="55" t="s">
        <v>69</v>
      </c>
      <c r="C558" s="55" t="s">
        <v>800</v>
      </c>
      <c r="D558" s="165" t="s">
        <v>1204</v>
      </c>
      <c r="E558" s="166"/>
      <c r="F558" s="166"/>
      <c r="G558" s="55" t="s">
        <v>1634</v>
      </c>
      <c r="H558" s="64">
        <v>96.974289999999996</v>
      </c>
      <c r="I558" s="64">
        <v>163</v>
      </c>
      <c r="J558" s="64">
        <f t="shared" ref="J558:J564" si="354">H558*AO558</f>
        <v>0</v>
      </c>
      <c r="K558" s="64">
        <f t="shared" ref="K558:K564" si="355">H558*AP558</f>
        <v>15806.80927</v>
      </c>
      <c r="L558" s="64">
        <f t="shared" ref="L558:L564" si="356">H558*I558</f>
        <v>15806.80927</v>
      </c>
      <c r="M558" s="73" t="s">
        <v>1657</v>
      </c>
      <c r="N558" s="19"/>
      <c r="Z558" s="35">
        <f t="shared" ref="Z558:Z564" si="357">IF(AQ558="5",BJ558,0)</f>
        <v>15806.80927</v>
      </c>
      <c r="AB558" s="35">
        <f t="shared" ref="AB558:AB564" si="358">IF(AQ558="1",BH558,0)</f>
        <v>0</v>
      </c>
      <c r="AC558" s="35">
        <f t="shared" ref="AC558:AC564" si="359">IF(AQ558="1",BI558,0)</f>
        <v>0</v>
      </c>
      <c r="AD558" s="35">
        <f t="shared" ref="AD558:AD564" si="360">IF(AQ558="7",BH558,0)</f>
        <v>0</v>
      </c>
      <c r="AE558" s="35">
        <f t="shared" ref="AE558:AE564" si="361">IF(AQ558="7",BI558,0)</f>
        <v>0</v>
      </c>
      <c r="AF558" s="35">
        <f t="shared" ref="AF558:AF564" si="362">IF(AQ558="2",BH558,0)</f>
        <v>0</v>
      </c>
      <c r="AG558" s="35">
        <f t="shared" ref="AG558:AG564" si="363">IF(AQ558="2",BI558,0)</f>
        <v>0</v>
      </c>
      <c r="AH558" s="35">
        <f t="shared" ref="AH558:AH564" si="364">IF(AQ558="0",BJ558,0)</f>
        <v>0</v>
      </c>
      <c r="AI558" s="77" t="s">
        <v>69</v>
      </c>
      <c r="AJ558" s="64">
        <f t="shared" ref="AJ558:AJ564" si="365">IF(AN558=0,L558,0)</f>
        <v>0</v>
      </c>
      <c r="AK558" s="64">
        <f t="shared" ref="AK558:AK564" si="366">IF(AN558=15,L558,0)</f>
        <v>0</v>
      </c>
      <c r="AL558" s="64">
        <f t="shared" ref="AL558:AL564" si="367">IF(AN558=21,L558,0)</f>
        <v>15806.80927</v>
      </c>
      <c r="AN558" s="35">
        <v>21</v>
      </c>
      <c r="AO558" s="35">
        <f t="shared" ref="AO558:AO564" si="368">I558*0</f>
        <v>0</v>
      </c>
      <c r="AP558" s="35">
        <f t="shared" ref="AP558:AP564" si="369">I558*(1-0)</f>
        <v>163</v>
      </c>
      <c r="AQ558" s="78" t="s">
        <v>112</v>
      </c>
      <c r="AV558" s="35">
        <f t="shared" ref="AV558:AV564" si="370">AW558+AX558</f>
        <v>15806.80927</v>
      </c>
      <c r="AW558" s="35">
        <f t="shared" ref="AW558:AW564" si="371">H558*AO558</f>
        <v>0</v>
      </c>
      <c r="AX558" s="35">
        <f t="shared" ref="AX558:AX564" si="372">H558*AP558</f>
        <v>15806.80927</v>
      </c>
      <c r="AY558" s="80" t="s">
        <v>1684</v>
      </c>
      <c r="AZ558" s="80" t="s">
        <v>1753</v>
      </c>
      <c r="BA558" s="77" t="s">
        <v>1782</v>
      </c>
      <c r="BC558" s="35">
        <f t="shared" ref="BC558:BC564" si="373">AW558+AX558</f>
        <v>15806.80927</v>
      </c>
      <c r="BD558" s="35">
        <f t="shared" ref="BD558:BD564" si="374">I558/(100-BE558)*100</f>
        <v>163</v>
      </c>
      <c r="BE558" s="35">
        <v>0</v>
      </c>
      <c r="BF558" s="35">
        <f>558</f>
        <v>558</v>
      </c>
      <c r="BH558" s="64">
        <f t="shared" ref="BH558:BH564" si="375">H558*AO558</f>
        <v>0</v>
      </c>
      <c r="BI558" s="64">
        <f t="shared" ref="BI558:BI564" si="376">H558*AP558</f>
        <v>15806.80927</v>
      </c>
      <c r="BJ558" s="64">
        <f t="shared" ref="BJ558:BJ564" si="377">H558*I558</f>
        <v>15806.80927</v>
      </c>
      <c r="BK558" s="64" t="s">
        <v>1790</v>
      </c>
      <c r="BL558" s="35" t="s">
        <v>145</v>
      </c>
    </row>
    <row r="559" spans="1:64">
      <c r="A559" s="47" t="s">
        <v>569</v>
      </c>
      <c r="B559" s="55" t="s">
        <v>69</v>
      </c>
      <c r="C559" s="55" t="s">
        <v>801</v>
      </c>
      <c r="D559" s="165" t="s">
        <v>1205</v>
      </c>
      <c r="E559" s="166"/>
      <c r="F559" s="166"/>
      <c r="G559" s="55" t="s">
        <v>1634</v>
      </c>
      <c r="H559" s="64">
        <v>1454.6143500000001</v>
      </c>
      <c r="I559" s="64">
        <v>11</v>
      </c>
      <c r="J559" s="64">
        <f t="shared" si="354"/>
        <v>0</v>
      </c>
      <c r="K559" s="64">
        <f t="shared" si="355"/>
        <v>16000.75785</v>
      </c>
      <c r="L559" s="64">
        <f t="shared" si="356"/>
        <v>16000.75785</v>
      </c>
      <c r="M559" s="73" t="s">
        <v>1657</v>
      </c>
      <c r="N559" s="19"/>
      <c r="Z559" s="35">
        <f t="shared" si="357"/>
        <v>16000.75785</v>
      </c>
      <c r="AB559" s="35">
        <f t="shared" si="358"/>
        <v>0</v>
      </c>
      <c r="AC559" s="35">
        <f t="shared" si="359"/>
        <v>0</v>
      </c>
      <c r="AD559" s="35">
        <f t="shared" si="360"/>
        <v>0</v>
      </c>
      <c r="AE559" s="35">
        <f t="shared" si="361"/>
        <v>0</v>
      </c>
      <c r="AF559" s="35">
        <f t="shared" si="362"/>
        <v>0</v>
      </c>
      <c r="AG559" s="35">
        <f t="shared" si="363"/>
        <v>0</v>
      </c>
      <c r="AH559" s="35">
        <f t="shared" si="364"/>
        <v>0</v>
      </c>
      <c r="AI559" s="77" t="s">
        <v>69</v>
      </c>
      <c r="AJ559" s="64">
        <f t="shared" si="365"/>
        <v>0</v>
      </c>
      <c r="AK559" s="64">
        <f t="shared" si="366"/>
        <v>0</v>
      </c>
      <c r="AL559" s="64">
        <f t="shared" si="367"/>
        <v>16000.75785</v>
      </c>
      <c r="AN559" s="35">
        <v>21</v>
      </c>
      <c r="AO559" s="35">
        <f t="shared" si="368"/>
        <v>0</v>
      </c>
      <c r="AP559" s="35">
        <f t="shared" si="369"/>
        <v>11</v>
      </c>
      <c r="AQ559" s="78" t="s">
        <v>112</v>
      </c>
      <c r="AV559" s="35">
        <f t="shared" si="370"/>
        <v>16000.75785</v>
      </c>
      <c r="AW559" s="35">
        <f t="shared" si="371"/>
        <v>0</v>
      </c>
      <c r="AX559" s="35">
        <f t="shared" si="372"/>
        <v>16000.75785</v>
      </c>
      <c r="AY559" s="80" t="s">
        <v>1684</v>
      </c>
      <c r="AZ559" s="80" t="s">
        <v>1753</v>
      </c>
      <c r="BA559" s="77" t="s">
        <v>1782</v>
      </c>
      <c r="BC559" s="35">
        <f t="shared" si="373"/>
        <v>16000.75785</v>
      </c>
      <c r="BD559" s="35">
        <f t="shared" si="374"/>
        <v>11</v>
      </c>
      <c r="BE559" s="35">
        <v>0</v>
      </c>
      <c r="BF559" s="35">
        <f>559</f>
        <v>559</v>
      </c>
      <c r="BH559" s="64">
        <f t="shared" si="375"/>
        <v>0</v>
      </c>
      <c r="BI559" s="64">
        <f t="shared" si="376"/>
        <v>16000.75785</v>
      </c>
      <c r="BJ559" s="64">
        <f t="shared" si="377"/>
        <v>16000.75785</v>
      </c>
      <c r="BK559" s="64" t="s">
        <v>1790</v>
      </c>
      <c r="BL559" s="35" t="s">
        <v>145</v>
      </c>
    </row>
    <row r="560" spans="1:64">
      <c r="A560" s="47" t="s">
        <v>570</v>
      </c>
      <c r="B560" s="55" t="s">
        <v>69</v>
      </c>
      <c r="C560" s="55" t="s">
        <v>802</v>
      </c>
      <c r="D560" s="165" t="s">
        <v>1206</v>
      </c>
      <c r="E560" s="166"/>
      <c r="F560" s="166"/>
      <c r="G560" s="55" t="s">
        <v>1634</v>
      </c>
      <c r="H560" s="64">
        <v>96.974289999999996</v>
      </c>
      <c r="I560" s="64">
        <v>229</v>
      </c>
      <c r="J560" s="64">
        <f t="shared" si="354"/>
        <v>0</v>
      </c>
      <c r="K560" s="64">
        <f t="shared" si="355"/>
        <v>22207.112409999998</v>
      </c>
      <c r="L560" s="64">
        <f t="shared" si="356"/>
        <v>22207.112409999998</v>
      </c>
      <c r="M560" s="73" t="s">
        <v>1657</v>
      </c>
      <c r="N560" s="19"/>
      <c r="Z560" s="35">
        <f t="shared" si="357"/>
        <v>22207.112409999998</v>
      </c>
      <c r="AB560" s="35">
        <f t="shared" si="358"/>
        <v>0</v>
      </c>
      <c r="AC560" s="35">
        <f t="shared" si="359"/>
        <v>0</v>
      </c>
      <c r="AD560" s="35">
        <f t="shared" si="360"/>
        <v>0</v>
      </c>
      <c r="AE560" s="35">
        <f t="shared" si="361"/>
        <v>0</v>
      </c>
      <c r="AF560" s="35">
        <f t="shared" si="362"/>
        <v>0</v>
      </c>
      <c r="AG560" s="35">
        <f t="shared" si="363"/>
        <v>0</v>
      </c>
      <c r="AH560" s="35">
        <f t="shared" si="364"/>
        <v>0</v>
      </c>
      <c r="AI560" s="77" t="s">
        <v>69</v>
      </c>
      <c r="AJ560" s="64">
        <f t="shared" si="365"/>
        <v>0</v>
      </c>
      <c r="AK560" s="64">
        <f t="shared" si="366"/>
        <v>0</v>
      </c>
      <c r="AL560" s="64">
        <f t="shared" si="367"/>
        <v>22207.112409999998</v>
      </c>
      <c r="AN560" s="35">
        <v>21</v>
      </c>
      <c r="AO560" s="35">
        <f t="shared" si="368"/>
        <v>0</v>
      </c>
      <c r="AP560" s="35">
        <f t="shared" si="369"/>
        <v>229</v>
      </c>
      <c r="AQ560" s="78" t="s">
        <v>112</v>
      </c>
      <c r="AV560" s="35">
        <f t="shared" si="370"/>
        <v>22207.112409999998</v>
      </c>
      <c r="AW560" s="35">
        <f t="shared" si="371"/>
        <v>0</v>
      </c>
      <c r="AX560" s="35">
        <f t="shared" si="372"/>
        <v>22207.112409999998</v>
      </c>
      <c r="AY560" s="80" t="s">
        <v>1684</v>
      </c>
      <c r="AZ560" s="80" t="s">
        <v>1753</v>
      </c>
      <c r="BA560" s="77" t="s">
        <v>1782</v>
      </c>
      <c r="BC560" s="35">
        <f t="shared" si="373"/>
        <v>22207.112409999998</v>
      </c>
      <c r="BD560" s="35">
        <f t="shared" si="374"/>
        <v>229</v>
      </c>
      <c r="BE560" s="35">
        <v>0</v>
      </c>
      <c r="BF560" s="35">
        <f>560</f>
        <v>560</v>
      </c>
      <c r="BH560" s="64">
        <f t="shared" si="375"/>
        <v>0</v>
      </c>
      <c r="BI560" s="64">
        <f t="shared" si="376"/>
        <v>22207.112409999998</v>
      </c>
      <c r="BJ560" s="64">
        <f t="shared" si="377"/>
        <v>22207.112409999998</v>
      </c>
      <c r="BK560" s="64" t="s">
        <v>1790</v>
      </c>
      <c r="BL560" s="35" t="s">
        <v>145</v>
      </c>
    </row>
    <row r="561" spans="1:64">
      <c r="A561" s="47" t="s">
        <v>571</v>
      </c>
      <c r="B561" s="55" t="s">
        <v>69</v>
      </c>
      <c r="C561" s="55" t="s">
        <v>803</v>
      </c>
      <c r="D561" s="165" t="s">
        <v>1207</v>
      </c>
      <c r="E561" s="166"/>
      <c r="F561" s="166"/>
      <c r="G561" s="55" t="s">
        <v>1634</v>
      </c>
      <c r="H561" s="64">
        <v>387.89715999999999</v>
      </c>
      <c r="I561" s="64">
        <v>25</v>
      </c>
      <c r="J561" s="64">
        <f t="shared" si="354"/>
        <v>0</v>
      </c>
      <c r="K561" s="64">
        <f t="shared" si="355"/>
        <v>9697.4290000000001</v>
      </c>
      <c r="L561" s="64">
        <f t="shared" si="356"/>
        <v>9697.4290000000001</v>
      </c>
      <c r="M561" s="73" t="s">
        <v>1657</v>
      </c>
      <c r="N561" s="19"/>
      <c r="Z561" s="35">
        <f t="shared" si="357"/>
        <v>9697.4290000000001</v>
      </c>
      <c r="AB561" s="35">
        <f t="shared" si="358"/>
        <v>0</v>
      </c>
      <c r="AC561" s="35">
        <f t="shared" si="359"/>
        <v>0</v>
      </c>
      <c r="AD561" s="35">
        <f t="shared" si="360"/>
        <v>0</v>
      </c>
      <c r="AE561" s="35">
        <f t="shared" si="361"/>
        <v>0</v>
      </c>
      <c r="AF561" s="35">
        <f t="shared" si="362"/>
        <v>0</v>
      </c>
      <c r="AG561" s="35">
        <f t="shared" si="363"/>
        <v>0</v>
      </c>
      <c r="AH561" s="35">
        <f t="shared" si="364"/>
        <v>0</v>
      </c>
      <c r="AI561" s="77" t="s">
        <v>69</v>
      </c>
      <c r="AJ561" s="64">
        <f t="shared" si="365"/>
        <v>0</v>
      </c>
      <c r="AK561" s="64">
        <f t="shared" si="366"/>
        <v>0</v>
      </c>
      <c r="AL561" s="64">
        <f t="shared" si="367"/>
        <v>9697.4290000000001</v>
      </c>
      <c r="AN561" s="35">
        <v>21</v>
      </c>
      <c r="AO561" s="35">
        <f t="shared" si="368"/>
        <v>0</v>
      </c>
      <c r="AP561" s="35">
        <f t="shared" si="369"/>
        <v>25</v>
      </c>
      <c r="AQ561" s="78" t="s">
        <v>112</v>
      </c>
      <c r="AV561" s="35">
        <f t="shared" si="370"/>
        <v>9697.4290000000001</v>
      </c>
      <c r="AW561" s="35">
        <f t="shared" si="371"/>
        <v>0</v>
      </c>
      <c r="AX561" s="35">
        <f t="shared" si="372"/>
        <v>9697.4290000000001</v>
      </c>
      <c r="AY561" s="80" t="s">
        <v>1684</v>
      </c>
      <c r="AZ561" s="80" t="s">
        <v>1753</v>
      </c>
      <c r="BA561" s="77" t="s">
        <v>1782</v>
      </c>
      <c r="BC561" s="35">
        <f t="shared" si="373"/>
        <v>9697.4290000000001</v>
      </c>
      <c r="BD561" s="35">
        <f t="shared" si="374"/>
        <v>25</v>
      </c>
      <c r="BE561" s="35">
        <v>0</v>
      </c>
      <c r="BF561" s="35">
        <f>561</f>
        <v>561</v>
      </c>
      <c r="BH561" s="64">
        <f t="shared" si="375"/>
        <v>0</v>
      </c>
      <c r="BI561" s="64">
        <f t="shared" si="376"/>
        <v>9697.4290000000001</v>
      </c>
      <c r="BJ561" s="64">
        <f t="shared" si="377"/>
        <v>9697.4290000000001</v>
      </c>
      <c r="BK561" s="64" t="s">
        <v>1790</v>
      </c>
      <c r="BL561" s="35" t="s">
        <v>145</v>
      </c>
    </row>
    <row r="562" spans="1:64">
      <c r="A562" s="47" t="s">
        <v>572</v>
      </c>
      <c r="B562" s="55" t="s">
        <v>69</v>
      </c>
      <c r="C562" s="55" t="s">
        <v>804</v>
      </c>
      <c r="D562" s="165" t="s">
        <v>1208</v>
      </c>
      <c r="E562" s="166"/>
      <c r="F562" s="166"/>
      <c r="G562" s="55" t="s">
        <v>1634</v>
      </c>
      <c r="H562" s="64">
        <v>31.751999999999999</v>
      </c>
      <c r="I562" s="64">
        <v>216</v>
      </c>
      <c r="J562" s="64">
        <f t="shared" si="354"/>
        <v>0</v>
      </c>
      <c r="K562" s="64">
        <f t="shared" si="355"/>
        <v>6858.4319999999998</v>
      </c>
      <c r="L562" s="64">
        <f t="shared" si="356"/>
        <v>6858.4319999999998</v>
      </c>
      <c r="M562" s="73" t="s">
        <v>1657</v>
      </c>
      <c r="N562" s="19"/>
      <c r="Z562" s="35">
        <f t="shared" si="357"/>
        <v>6858.4319999999998</v>
      </c>
      <c r="AB562" s="35">
        <f t="shared" si="358"/>
        <v>0</v>
      </c>
      <c r="AC562" s="35">
        <f t="shared" si="359"/>
        <v>0</v>
      </c>
      <c r="AD562" s="35">
        <f t="shared" si="360"/>
        <v>0</v>
      </c>
      <c r="AE562" s="35">
        <f t="shared" si="361"/>
        <v>0</v>
      </c>
      <c r="AF562" s="35">
        <f t="shared" si="362"/>
        <v>0</v>
      </c>
      <c r="AG562" s="35">
        <f t="shared" si="363"/>
        <v>0</v>
      </c>
      <c r="AH562" s="35">
        <f t="shared" si="364"/>
        <v>0</v>
      </c>
      <c r="AI562" s="77" t="s">
        <v>69</v>
      </c>
      <c r="AJ562" s="64">
        <f t="shared" si="365"/>
        <v>0</v>
      </c>
      <c r="AK562" s="64">
        <f t="shared" si="366"/>
        <v>0</v>
      </c>
      <c r="AL562" s="64">
        <f t="shared" si="367"/>
        <v>6858.4319999999998</v>
      </c>
      <c r="AN562" s="35">
        <v>21</v>
      </c>
      <c r="AO562" s="35">
        <f t="shared" si="368"/>
        <v>0</v>
      </c>
      <c r="AP562" s="35">
        <f t="shared" si="369"/>
        <v>216</v>
      </c>
      <c r="AQ562" s="78" t="s">
        <v>112</v>
      </c>
      <c r="AV562" s="35">
        <f t="shared" si="370"/>
        <v>6858.4319999999998</v>
      </c>
      <c r="AW562" s="35">
        <f t="shared" si="371"/>
        <v>0</v>
      </c>
      <c r="AX562" s="35">
        <f t="shared" si="372"/>
        <v>6858.4319999999998</v>
      </c>
      <c r="AY562" s="80" t="s">
        <v>1684</v>
      </c>
      <c r="AZ562" s="80" t="s">
        <v>1753</v>
      </c>
      <c r="BA562" s="77" t="s">
        <v>1782</v>
      </c>
      <c r="BC562" s="35">
        <f t="shared" si="373"/>
        <v>6858.4319999999998</v>
      </c>
      <c r="BD562" s="35">
        <f t="shared" si="374"/>
        <v>216</v>
      </c>
      <c r="BE562" s="35">
        <v>0</v>
      </c>
      <c r="BF562" s="35">
        <f>562</f>
        <v>562</v>
      </c>
      <c r="BH562" s="64">
        <f t="shared" si="375"/>
        <v>0</v>
      </c>
      <c r="BI562" s="64">
        <f t="shared" si="376"/>
        <v>6858.4319999999998</v>
      </c>
      <c r="BJ562" s="64">
        <f t="shared" si="377"/>
        <v>6858.4319999999998</v>
      </c>
      <c r="BK562" s="64" t="s">
        <v>1790</v>
      </c>
      <c r="BL562" s="35" t="s">
        <v>145</v>
      </c>
    </row>
    <row r="563" spans="1:64">
      <c r="A563" s="47" t="s">
        <v>573</v>
      </c>
      <c r="B563" s="55" t="s">
        <v>69</v>
      </c>
      <c r="C563" s="55" t="s">
        <v>1006</v>
      </c>
      <c r="D563" s="165" t="s">
        <v>1501</v>
      </c>
      <c r="E563" s="166"/>
      <c r="F563" s="166"/>
      <c r="G563" s="55" t="s">
        <v>1634</v>
      </c>
      <c r="H563" s="64">
        <v>61.534080000000003</v>
      </c>
      <c r="I563" s="64">
        <v>990</v>
      </c>
      <c r="J563" s="64">
        <f t="shared" si="354"/>
        <v>0</v>
      </c>
      <c r="K563" s="64">
        <f t="shared" si="355"/>
        <v>60918.739200000004</v>
      </c>
      <c r="L563" s="64">
        <f t="shared" si="356"/>
        <v>60918.739200000004</v>
      </c>
      <c r="M563" s="73" t="s">
        <v>1657</v>
      </c>
      <c r="N563" s="19"/>
      <c r="Z563" s="35">
        <f t="shared" si="357"/>
        <v>60918.739200000004</v>
      </c>
      <c r="AB563" s="35">
        <f t="shared" si="358"/>
        <v>0</v>
      </c>
      <c r="AC563" s="35">
        <f t="shared" si="359"/>
        <v>0</v>
      </c>
      <c r="AD563" s="35">
        <f t="shared" si="360"/>
        <v>0</v>
      </c>
      <c r="AE563" s="35">
        <f t="shared" si="361"/>
        <v>0</v>
      </c>
      <c r="AF563" s="35">
        <f t="shared" si="362"/>
        <v>0</v>
      </c>
      <c r="AG563" s="35">
        <f t="shared" si="363"/>
        <v>0</v>
      </c>
      <c r="AH563" s="35">
        <f t="shared" si="364"/>
        <v>0</v>
      </c>
      <c r="AI563" s="77" t="s">
        <v>69</v>
      </c>
      <c r="AJ563" s="64">
        <f t="shared" si="365"/>
        <v>0</v>
      </c>
      <c r="AK563" s="64">
        <f t="shared" si="366"/>
        <v>0</v>
      </c>
      <c r="AL563" s="64">
        <f t="shared" si="367"/>
        <v>60918.739200000004</v>
      </c>
      <c r="AN563" s="35">
        <v>21</v>
      </c>
      <c r="AO563" s="35">
        <f t="shared" si="368"/>
        <v>0</v>
      </c>
      <c r="AP563" s="35">
        <f t="shared" si="369"/>
        <v>990</v>
      </c>
      <c r="AQ563" s="78" t="s">
        <v>112</v>
      </c>
      <c r="AV563" s="35">
        <f t="shared" si="370"/>
        <v>60918.739200000004</v>
      </c>
      <c r="AW563" s="35">
        <f t="shared" si="371"/>
        <v>0</v>
      </c>
      <c r="AX563" s="35">
        <f t="shared" si="372"/>
        <v>60918.739200000004</v>
      </c>
      <c r="AY563" s="80" t="s">
        <v>1684</v>
      </c>
      <c r="AZ563" s="80" t="s">
        <v>1753</v>
      </c>
      <c r="BA563" s="77" t="s">
        <v>1782</v>
      </c>
      <c r="BC563" s="35">
        <f t="shared" si="373"/>
        <v>60918.739200000004</v>
      </c>
      <c r="BD563" s="35">
        <f t="shared" si="374"/>
        <v>990</v>
      </c>
      <c r="BE563" s="35">
        <v>0</v>
      </c>
      <c r="BF563" s="35">
        <f>563</f>
        <v>563</v>
      </c>
      <c r="BH563" s="64">
        <f t="shared" si="375"/>
        <v>0</v>
      </c>
      <c r="BI563" s="64">
        <f t="shared" si="376"/>
        <v>60918.739200000004</v>
      </c>
      <c r="BJ563" s="64">
        <f t="shared" si="377"/>
        <v>60918.739200000004</v>
      </c>
      <c r="BK563" s="64" t="s">
        <v>1790</v>
      </c>
      <c r="BL563" s="35" t="s">
        <v>145</v>
      </c>
    </row>
    <row r="564" spans="1:64">
      <c r="A564" s="47" t="s">
        <v>574</v>
      </c>
      <c r="B564" s="55" t="s">
        <v>69</v>
      </c>
      <c r="C564" s="55" t="s">
        <v>805</v>
      </c>
      <c r="D564" s="165" t="s">
        <v>1209</v>
      </c>
      <c r="E564" s="166"/>
      <c r="F564" s="166"/>
      <c r="G564" s="55" t="s">
        <v>1634</v>
      </c>
      <c r="H564" s="64">
        <v>3.6882100000000002</v>
      </c>
      <c r="I564" s="64">
        <v>990</v>
      </c>
      <c r="J564" s="64">
        <f t="shared" si="354"/>
        <v>0</v>
      </c>
      <c r="K564" s="64">
        <f t="shared" si="355"/>
        <v>3651.3279000000002</v>
      </c>
      <c r="L564" s="64">
        <f t="shared" si="356"/>
        <v>3651.3279000000002</v>
      </c>
      <c r="M564" s="73" t="s">
        <v>1657</v>
      </c>
      <c r="N564" s="19"/>
      <c r="Z564" s="35">
        <f t="shared" si="357"/>
        <v>3651.3279000000002</v>
      </c>
      <c r="AB564" s="35">
        <f t="shared" si="358"/>
        <v>0</v>
      </c>
      <c r="AC564" s="35">
        <f t="shared" si="359"/>
        <v>0</v>
      </c>
      <c r="AD564" s="35">
        <f t="shared" si="360"/>
        <v>0</v>
      </c>
      <c r="AE564" s="35">
        <f t="shared" si="361"/>
        <v>0</v>
      </c>
      <c r="AF564" s="35">
        <f t="shared" si="362"/>
        <v>0</v>
      </c>
      <c r="AG564" s="35">
        <f t="shared" si="363"/>
        <v>0</v>
      </c>
      <c r="AH564" s="35">
        <f t="shared" si="364"/>
        <v>0</v>
      </c>
      <c r="AI564" s="77" t="s">
        <v>69</v>
      </c>
      <c r="AJ564" s="64">
        <f t="shared" si="365"/>
        <v>0</v>
      </c>
      <c r="AK564" s="64">
        <f t="shared" si="366"/>
        <v>0</v>
      </c>
      <c r="AL564" s="64">
        <f t="shared" si="367"/>
        <v>3651.3279000000002</v>
      </c>
      <c r="AN564" s="35">
        <v>21</v>
      </c>
      <c r="AO564" s="35">
        <f t="shared" si="368"/>
        <v>0</v>
      </c>
      <c r="AP564" s="35">
        <f t="shared" si="369"/>
        <v>990</v>
      </c>
      <c r="AQ564" s="78" t="s">
        <v>112</v>
      </c>
      <c r="AV564" s="35">
        <f t="shared" si="370"/>
        <v>3651.3279000000002</v>
      </c>
      <c r="AW564" s="35">
        <f t="shared" si="371"/>
        <v>0</v>
      </c>
      <c r="AX564" s="35">
        <f t="shared" si="372"/>
        <v>3651.3279000000002</v>
      </c>
      <c r="AY564" s="80" t="s">
        <v>1684</v>
      </c>
      <c r="AZ564" s="80" t="s">
        <v>1753</v>
      </c>
      <c r="BA564" s="77" t="s">
        <v>1782</v>
      </c>
      <c r="BC564" s="35">
        <f t="shared" si="373"/>
        <v>3651.3279000000002</v>
      </c>
      <c r="BD564" s="35">
        <f t="shared" si="374"/>
        <v>990</v>
      </c>
      <c r="BE564" s="35">
        <v>0</v>
      </c>
      <c r="BF564" s="35">
        <f>564</f>
        <v>564</v>
      </c>
      <c r="BH564" s="64">
        <f t="shared" si="375"/>
        <v>0</v>
      </c>
      <c r="BI564" s="64">
        <f t="shared" si="376"/>
        <v>3651.3279000000002</v>
      </c>
      <c r="BJ564" s="64">
        <f t="shared" si="377"/>
        <v>3651.3279000000002</v>
      </c>
      <c r="BK564" s="64" t="s">
        <v>1790</v>
      </c>
      <c r="BL564" s="35" t="s">
        <v>145</v>
      </c>
    </row>
    <row r="565" spans="1:64">
      <c r="A565" s="46"/>
      <c r="B565" s="54" t="s">
        <v>69</v>
      </c>
      <c r="C565" s="54" t="s">
        <v>151</v>
      </c>
      <c r="D565" s="163" t="s">
        <v>202</v>
      </c>
      <c r="E565" s="164"/>
      <c r="F565" s="164"/>
      <c r="G565" s="61" t="s">
        <v>57</v>
      </c>
      <c r="H565" s="61" t="s">
        <v>57</v>
      </c>
      <c r="I565" s="61" t="s">
        <v>57</v>
      </c>
      <c r="J565" s="83">
        <f>SUM(J566:J572)</f>
        <v>73.8</v>
      </c>
      <c r="K565" s="83">
        <f>SUM(K566:K572)</f>
        <v>11249.538860000001</v>
      </c>
      <c r="L565" s="83">
        <f>SUM(L566:L572)</f>
        <v>11323.33886</v>
      </c>
      <c r="M565" s="72"/>
      <c r="N565" s="19"/>
      <c r="AI565" s="77" t="s">
        <v>69</v>
      </c>
      <c r="AS565" s="83">
        <f>SUM(AJ566:AJ572)</f>
        <v>0</v>
      </c>
      <c r="AT565" s="83">
        <f>SUM(AK566:AK572)</f>
        <v>0</v>
      </c>
      <c r="AU565" s="83">
        <f>SUM(AL566:AL572)</f>
        <v>11323.33886</v>
      </c>
    </row>
    <row r="566" spans="1:64">
      <c r="A566" s="47" t="s">
        <v>575</v>
      </c>
      <c r="B566" s="55" t="s">
        <v>69</v>
      </c>
      <c r="C566" s="55" t="s">
        <v>1007</v>
      </c>
      <c r="D566" s="165" t="s">
        <v>1502</v>
      </c>
      <c r="E566" s="166"/>
      <c r="F566" s="166"/>
      <c r="G566" s="55" t="s">
        <v>1632</v>
      </c>
      <c r="H566" s="64">
        <v>7.96</v>
      </c>
      <c r="I566" s="64">
        <v>426</v>
      </c>
      <c r="J566" s="64">
        <f t="shared" ref="J566:J572" si="378">H566*AO566</f>
        <v>0</v>
      </c>
      <c r="K566" s="64">
        <f t="shared" ref="K566:K572" si="379">H566*AP566</f>
        <v>3390.96</v>
      </c>
      <c r="L566" s="64">
        <f t="shared" ref="L566:L572" si="380">H566*I566</f>
        <v>3390.96</v>
      </c>
      <c r="M566" s="73" t="s">
        <v>1657</v>
      </c>
      <c r="N566" s="19"/>
      <c r="Z566" s="35">
        <f t="shared" ref="Z566:Z572" si="381">IF(AQ566="5",BJ566,0)</f>
        <v>0</v>
      </c>
      <c r="AB566" s="35">
        <f t="shared" ref="AB566:AB572" si="382">IF(AQ566="1",BH566,0)</f>
        <v>0</v>
      </c>
      <c r="AC566" s="35">
        <f t="shared" ref="AC566:AC572" si="383">IF(AQ566="1",BI566,0)</f>
        <v>0</v>
      </c>
      <c r="AD566" s="35">
        <f t="shared" ref="AD566:AD572" si="384">IF(AQ566="7",BH566,0)</f>
        <v>0</v>
      </c>
      <c r="AE566" s="35">
        <f t="shared" ref="AE566:AE572" si="385">IF(AQ566="7",BI566,0)</f>
        <v>3390.96</v>
      </c>
      <c r="AF566" s="35">
        <f t="shared" ref="AF566:AF572" si="386">IF(AQ566="2",BH566,0)</f>
        <v>0</v>
      </c>
      <c r="AG566" s="35">
        <f t="shared" ref="AG566:AG572" si="387">IF(AQ566="2",BI566,0)</f>
        <v>0</v>
      </c>
      <c r="AH566" s="35">
        <f t="shared" ref="AH566:AH572" si="388">IF(AQ566="0",BJ566,0)</f>
        <v>0</v>
      </c>
      <c r="AI566" s="77" t="s">
        <v>69</v>
      </c>
      <c r="AJ566" s="64">
        <f t="shared" ref="AJ566:AJ572" si="389">IF(AN566=0,L566,0)</f>
        <v>0</v>
      </c>
      <c r="AK566" s="64">
        <f t="shared" ref="AK566:AK572" si="390">IF(AN566=15,L566,0)</f>
        <v>0</v>
      </c>
      <c r="AL566" s="64">
        <f t="shared" ref="AL566:AL572" si="391">IF(AN566=21,L566,0)</f>
        <v>3390.96</v>
      </c>
      <c r="AN566" s="35">
        <v>21</v>
      </c>
      <c r="AO566" s="35">
        <f>I566*0</f>
        <v>0</v>
      </c>
      <c r="AP566" s="35">
        <f>I566*(1-0)</f>
        <v>426</v>
      </c>
      <c r="AQ566" s="78" t="s">
        <v>235</v>
      </c>
      <c r="AV566" s="35">
        <f t="shared" ref="AV566:AV572" si="392">AW566+AX566</f>
        <v>3390.96</v>
      </c>
      <c r="AW566" s="35">
        <f t="shared" ref="AW566:AW572" si="393">H566*AO566</f>
        <v>0</v>
      </c>
      <c r="AX566" s="35">
        <f t="shared" ref="AX566:AX572" si="394">H566*AP566</f>
        <v>3390.96</v>
      </c>
      <c r="AY566" s="80" t="s">
        <v>1690</v>
      </c>
      <c r="AZ566" s="80" t="s">
        <v>1754</v>
      </c>
      <c r="BA566" s="77" t="s">
        <v>1782</v>
      </c>
      <c r="BC566" s="35">
        <f t="shared" ref="BC566:BC572" si="395">AW566+AX566</f>
        <v>3390.96</v>
      </c>
      <c r="BD566" s="35">
        <f t="shared" ref="BD566:BD572" si="396">I566/(100-BE566)*100</f>
        <v>426</v>
      </c>
      <c r="BE566" s="35">
        <v>0</v>
      </c>
      <c r="BF566" s="35">
        <f>566</f>
        <v>566</v>
      </c>
      <c r="BH566" s="64">
        <f t="shared" ref="BH566:BH572" si="397">H566*AO566</f>
        <v>0</v>
      </c>
      <c r="BI566" s="64">
        <f t="shared" ref="BI566:BI572" si="398">H566*AP566</f>
        <v>3390.96</v>
      </c>
      <c r="BJ566" s="64">
        <f t="shared" ref="BJ566:BJ572" si="399">H566*I566</f>
        <v>3390.96</v>
      </c>
      <c r="BK566" s="64" t="s">
        <v>1790</v>
      </c>
      <c r="BL566" s="35">
        <v>711</v>
      </c>
    </row>
    <row r="567" spans="1:64">
      <c r="A567" s="47" t="s">
        <v>576</v>
      </c>
      <c r="B567" s="55" t="s">
        <v>69</v>
      </c>
      <c r="C567" s="55" t="s">
        <v>1008</v>
      </c>
      <c r="D567" s="165" t="s">
        <v>1503</v>
      </c>
      <c r="E567" s="166"/>
      <c r="F567" s="166"/>
      <c r="G567" s="55" t="s">
        <v>1633</v>
      </c>
      <c r="H567" s="64">
        <v>26.52</v>
      </c>
      <c r="I567" s="64">
        <v>181</v>
      </c>
      <c r="J567" s="64">
        <f t="shared" si="378"/>
        <v>0</v>
      </c>
      <c r="K567" s="64">
        <f t="shared" si="379"/>
        <v>4800.12</v>
      </c>
      <c r="L567" s="64">
        <f t="shared" si="380"/>
        <v>4800.12</v>
      </c>
      <c r="M567" s="73" t="s">
        <v>1657</v>
      </c>
      <c r="N567" s="19"/>
      <c r="Z567" s="35">
        <f t="shared" si="381"/>
        <v>0</v>
      </c>
      <c r="AB567" s="35">
        <f t="shared" si="382"/>
        <v>0</v>
      </c>
      <c r="AC567" s="35">
        <f t="shared" si="383"/>
        <v>0</v>
      </c>
      <c r="AD567" s="35">
        <f t="shared" si="384"/>
        <v>0</v>
      </c>
      <c r="AE567" s="35">
        <f t="shared" si="385"/>
        <v>4800.12</v>
      </c>
      <c r="AF567" s="35">
        <f t="shared" si="386"/>
        <v>0</v>
      </c>
      <c r="AG567" s="35">
        <f t="shared" si="387"/>
        <v>0</v>
      </c>
      <c r="AH567" s="35">
        <f t="shared" si="388"/>
        <v>0</v>
      </c>
      <c r="AI567" s="77" t="s">
        <v>69</v>
      </c>
      <c r="AJ567" s="64">
        <f t="shared" si="389"/>
        <v>0</v>
      </c>
      <c r="AK567" s="64">
        <f t="shared" si="390"/>
        <v>0</v>
      </c>
      <c r="AL567" s="64">
        <f t="shared" si="391"/>
        <v>4800.12</v>
      </c>
      <c r="AN567" s="35">
        <v>21</v>
      </c>
      <c r="AO567" s="35">
        <f>I567*0</f>
        <v>0</v>
      </c>
      <c r="AP567" s="35">
        <f>I567*(1-0)</f>
        <v>181</v>
      </c>
      <c r="AQ567" s="78" t="s">
        <v>235</v>
      </c>
      <c r="AV567" s="35">
        <f t="shared" si="392"/>
        <v>4800.12</v>
      </c>
      <c r="AW567" s="35">
        <f t="shared" si="393"/>
        <v>0</v>
      </c>
      <c r="AX567" s="35">
        <f t="shared" si="394"/>
        <v>4800.12</v>
      </c>
      <c r="AY567" s="80" t="s">
        <v>1690</v>
      </c>
      <c r="AZ567" s="80" t="s">
        <v>1754</v>
      </c>
      <c r="BA567" s="77" t="s">
        <v>1782</v>
      </c>
      <c r="BC567" s="35">
        <f t="shared" si="395"/>
        <v>4800.12</v>
      </c>
      <c r="BD567" s="35">
        <f t="shared" si="396"/>
        <v>181</v>
      </c>
      <c r="BE567" s="35">
        <v>0</v>
      </c>
      <c r="BF567" s="35">
        <f>567</f>
        <v>567</v>
      </c>
      <c r="BH567" s="64">
        <f t="shared" si="397"/>
        <v>0</v>
      </c>
      <c r="BI567" s="64">
        <f t="shared" si="398"/>
        <v>4800.12</v>
      </c>
      <c r="BJ567" s="64">
        <f t="shared" si="399"/>
        <v>4800.12</v>
      </c>
      <c r="BK567" s="64" t="s">
        <v>1790</v>
      </c>
      <c r="BL567" s="35">
        <v>711</v>
      </c>
    </row>
    <row r="568" spans="1:64">
      <c r="A568" s="47" t="s">
        <v>577</v>
      </c>
      <c r="B568" s="55" t="s">
        <v>69</v>
      </c>
      <c r="C568" s="55" t="s">
        <v>1008</v>
      </c>
      <c r="D568" s="165" t="s">
        <v>1504</v>
      </c>
      <c r="E568" s="166"/>
      <c r="F568" s="166"/>
      <c r="G568" s="55" t="s">
        <v>1633</v>
      </c>
      <c r="H568" s="64">
        <v>6</v>
      </c>
      <c r="I568" s="64">
        <v>135</v>
      </c>
      <c r="J568" s="64">
        <f t="shared" si="378"/>
        <v>0</v>
      </c>
      <c r="K568" s="64">
        <f t="shared" si="379"/>
        <v>810</v>
      </c>
      <c r="L568" s="64">
        <f t="shared" si="380"/>
        <v>810</v>
      </c>
      <c r="M568" s="73" t="s">
        <v>1657</v>
      </c>
      <c r="N568" s="19"/>
      <c r="Z568" s="35">
        <f t="shared" si="381"/>
        <v>0</v>
      </c>
      <c r="AB568" s="35">
        <f t="shared" si="382"/>
        <v>0</v>
      </c>
      <c r="AC568" s="35">
        <f t="shared" si="383"/>
        <v>0</v>
      </c>
      <c r="AD568" s="35">
        <f t="shared" si="384"/>
        <v>0</v>
      </c>
      <c r="AE568" s="35">
        <f t="shared" si="385"/>
        <v>810</v>
      </c>
      <c r="AF568" s="35">
        <f t="shared" si="386"/>
        <v>0</v>
      </c>
      <c r="AG568" s="35">
        <f t="shared" si="387"/>
        <v>0</v>
      </c>
      <c r="AH568" s="35">
        <f t="shared" si="388"/>
        <v>0</v>
      </c>
      <c r="AI568" s="77" t="s">
        <v>69</v>
      </c>
      <c r="AJ568" s="64">
        <f t="shared" si="389"/>
        <v>0</v>
      </c>
      <c r="AK568" s="64">
        <f t="shared" si="390"/>
        <v>0</v>
      </c>
      <c r="AL568" s="64">
        <f t="shared" si="391"/>
        <v>810</v>
      </c>
      <c r="AN568" s="35">
        <v>21</v>
      </c>
      <c r="AO568" s="35">
        <f>I568*0</f>
        <v>0</v>
      </c>
      <c r="AP568" s="35">
        <f>I568*(1-0)</f>
        <v>135</v>
      </c>
      <c r="AQ568" s="78" t="s">
        <v>235</v>
      </c>
      <c r="AV568" s="35">
        <f t="shared" si="392"/>
        <v>810</v>
      </c>
      <c r="AW568" s="35">
        <f t="shared" si="393"/>
        <v>0</v>
      </c>
      <c r="AX568" s="35">
        <f t="shared" si="394"/>
        <v>810</v>
      </c>
      <c r="AY568" s="80" t="s">
        <v>1690</v>
      </c>
      <c r="AZ568" s="80" t="s">
        <v>1754</v>
      </c>
      <c r="BA568" s="77" t="s">
        <v>1782</v>
      </c>
      <c r="BC568" s="35">
        <f t="shared" si="395"/>
        <v>810</v>
      </c>
      <c r="BD568" s="35">
        <f t="shared" si="396"/>
        <v>135</v>
      </c>
      <c r="BE568" s="35">
        <v>0</v>
      </c>
      <c r="BF568" s="35">
        <f>568</f>
        <v>568</v>
      </c>
      <c r="BH568" s="64">
        <f t="shared" si="397"/>
        <v>0</v>
      </c>
      <c r="BI568" s="64">
        <f t="shared" si="398"/>
        <v>810</v>
      </c>
      <c r="BJ568" s="64">
        <f t="shared" si="399"/>
        <v>810</v>
      </c>
      <c r="BK568" s="64" t="s">
        <v>1790</v>
      </c>
      <c r="BL568" s="35">
        <v>711</v>
      </c>
    </row>
    <row r="569" spans="1:64">
      <c r="A569" s="48" t="s">
        <v>578</v>
      </c>
      <c r="B569" s="56" t="s">
        <v>69</v>
      </c>
      <c r="C569" s="56" t="s">
        <v>773</v>
      </c>
      <c r="D569" s="170" t="s">
        <v>1175</v>
      </c>
      <c r="E569" s="171"/>
      <c r="F569" s="171"/>
      <c r="G569" s="56" t="s">
        <v>1631</v>
      </c>
      <c r="H569" s="65">
        <v>0.6</v>
      </c>
      <c r="I569" s="65">
        <v>123</v>
      </c>
      <c r="J569" s="65">
        <f t="shared" si="378"/>
        <v>73.8</v>
      </c>
      <c r="K569" s="65">
        <f t="shared" si="379"/>
        <v>0</v>
      </c>
      <c r="L569" s="65">
        <f t="shared" si="380"/>
        <v>73.8</v>
      </c>
      <c r="M569" s="74" t="s">
        <v>1657</v>
      </c>
      <c r="N569" s="19"/>
      <c r="Z569" s="35">
        <f t="shared" si="381"/>
        <v>0</v>
      </c>
      <c r="AB569" s="35">
        <f t="shared" si="382"/>
        <v>0</v>
      </c>
      <c r="AC569" s="35">
        <f t="shared" si="383"/>
        <v>0</v>
      </c>
      <c r="AD569" s="35">
        <f t="shared" si="384"/>
        <v>73.8</v>
      </c>
      <c r="AE569" s="35">
        <f t="shared" si="385"/>
        <v>0</v>
      </c>
      <c r="AF569" s="35">
        <f t="shared" si="386"/>
        <v>0</v>
      </c>
      <c r="AG569" s="35">
        <f t="shared" si="387"/>
        <v>0</v>
      </c>
      <c r="AH569" s="35">
        <f t="shared" si="388"/>
        <v>0</v>
      </c>
      <c r="AI569" s="77" t="s">
        <v>69</v>
      </c>
      <c r="AJ569" s="65">
        <f t="shared" si="389"/>
        <v>0</v>
      </c>
      <c r="AK569" s="65">
        <f t="shared" si="390"/>
        <v>0</v>
      </c>
      <c r="AL569" s="65">
        <f t="shared" si="391"/>
        <v>73.8</v>
      </c>
      <c r="AN569" s="35">
        <v>21</v>
      </c>
      <c r="AO569" s="35">
        <f>I569*1</f>
        <v>123</v>
      </c>
      <c r="AP569" s="35">
        <f>I569*(1-1)</f>
        <v>0</v>
      </c>
      <c r="AQ569" s="79" t="s">
        <v>235</v>
      </c>
      <c r="AV569" s="35">
        <f t="shared" si="392"/>
        <v>73.8</v>
      </c>
      <c r="AW569" s="35">
        <f t="shared" si="393"/>
        <v>73.8</v>
      </c>
      <c r="AX569" s="35">
        <f t="shared" si="394"/>
        <v>0</v>
      </c>
      <c r="AY569" s="80" t="s">
        <v>1690</v>
      </c>
      <c r="AZ569" s="80" t="s">
        <v>1754</v>
      </c>
      <c r="BA569" s="77" t="s">
        <v>1782</v>
      </c>
      <c r="BC569" s="35">
        <f t="shared" si="395"/>
        <v>73.8</v>
      </c>
      <c r="BD569" s="35">
        <f t="shared" si="396"/>
        <v>123</v>
      </c>
      <c r="BE569" s="35">
        <v>0</v>
      </c>
      <c r="BF569" s="35">
        <f>569</f>
        <v>569</v>
      </c>
      <c r="BH569" s="65">
        <f t="shared" si="397"/>
        <v>73.8</v>
      </c>
      <c r="BI569" s="65">
        <f t="shared" si="398"/>
        <v>0</v>
      </c>
      <c r="BJ569" s="65">
        <f t="shared" si="399"/>
        <v>73.8</v>
      </c>
      <c r="BK569" s="65" t="s">
        <v>1642</v>
      </c>
      <c r="BL569" s="35">
        <v>711</v>
      </c>
    </row>
    <row r="570" spans="1:64">
      <c r="A570" s="47" t="s">
        <v>579</v>
      </c>
      <c r="B570" s="55" t="s">
        <v>69</v>
      </c>
      <c r="C570" s="55" t="s">
        <v>1009</v>
      </c>
      <c r="D570" s="165" t="s">
        <v>1505</v>
      </c>
      <c r="E570" s="166"/>
      <c r="F570" s="166"/>
      <c r="G570" s="55" t="s">
        <v>1631</v>
      </c>
      <c r="H570" s="64">
        <v>4</v>
      </c>
      <c r="I570" s="64">
        <v>123</v>
      </c>
      <c r="J570" s="64">
        <f t="shared" si="378"/>
        <v>0</v>
      </c>
      <c r="K570" s="64">
        <f t="shared" si="379"/>
        <v>492</v>
      </c>
      <c r="L570" s="64">
        <f t="shared" si="380"/>
        <v>492</v>
      </c>
      <c r="M570" s="73" t="s">
        <v>1657</v>
      </c>
      <c r="N570" s="19"/>
      <c r="Z570" s="35">
        <f t="shared" si="381"/>
        <v>0</v>
      </c>
      <c r="AB570" s="35">
        <f t="shared" si="382"/>
        <v>0</v>
      </c>
      <c r="AC570" s="35">
        <f t="shared" si="383"/>
        <v>0</v>
      </c>
      <c r="AD570" s="35">
        <f t="shared" si="384"/>
        <v>0</v>
      </c>
      <c r="AE570" s="35">
        <f t="shared" si="385"/>
        <v>492</v>
      </c>
      <c r="AF570" s="35">
        <f t="shared" si="386"/>
        <v>0</v>
      </c>
      <c r="AG570" s="35">
        <f t="shared" si="387"/>
        <v>0</v>
      </c>
      <c r="AH570" s="35">
        <f t="shared" si="388"/>
        <v>0</v>
      </c>
      <c r="AI570" s="77" t="s">
        <v>69</v>
      </c>
      <c r="AJ570" s="64">
        <f t="shared" si="389"/>
        <v>0</v>
      </c>
      <c r="AK570" s="64">
        <f t="shared" si="390"/>
        <v>0</v>
      </c>
      <c r="AL570" s="64">
        <f t="shared" si="391"/>
        <v>492</v>
      </c>
      <c r="AN570" s="35">
        <v>21</v>
      </c>
      <c r="AO570" s="35">
        <f>I570*0</f>
        <v>0</v>
      </c>
      <c r="AP570" s="35">
        <f>I570*(1-0)</f>
        <v>123</v>
      </c>
      <c r="AQ570" s="78" t="s">
        <v>235</v>
      </c>
      <c r="AV570" s="35">
        <f t="shared" si="392"/>
        <v>492</v>
      </c>
      <c r="AW570" s="35">
        <f t="shared" si="393"/>
        <v>0</v>
      </c>
      <c r="AX570" s="35">
        <f t="shared" si="394"/>
        <v>492</v>
      </c>
      <c r="AY570" s="80" t="s">
        <v>1690</v>
      </c>
      <c r="AZ570" s="80" t="s">
        <v>1754</v>
      </c>
      <c r="BA570" s="77" t="s">
        <v>1782</v>
      </c>
      <c r="BC570" s="35">
        <f t="shared" si="395"/>
        <v>492</v>
      </c>
      <c r="BD570" s="35">
        <f t="shared" si="396"/>
        <v>123</v>
      </c>
      <c r="BE570" s="35">
        <v>0</v>
      </c>
      <c r="BF570" s="35">
        <f>570</f>
        <v>570</v>
      </c>
      <c r="BH570" s="64">
        <f t="shared" si="397"/>
        <v>0</v>
      </c>
      <c r="BI570" s="64">
        <f t="shared" si="398"/>
        <v>492</v>
      </c>
      <c r="BJ570" s="64">
        <f t="shared" si="399"/>
        <v>492</v>
      </c>
      <c r="BK570" s="64" t="s">
        <v>1790</v>
      </c>
      <c r="BL570" s="35">
        <v>711</v>
      </c>
    </row>
    <row r="571" spans="1:64">
      <c r="A571" s="47" t="s">
        <v>580</v>
      </c>
      <c r="B571" s="55" t="s">
        <v>69</v>
      </c>
      <c r="C571" s="55" t="s">
        <v>1010</v>
      </c>
      <c r="D571" s="165" t="s">
        <v>1506</v>
      </c>
      <c r="E571" s="166"/>
      <c r="F571" s="166"/>
      <c r="G571" s="55" t="s">
        <v>1631</v>
      </c>
      <c r="H571" s="64">
        <v>8</v>
      </c>
      <c r="I571" s="64">
        <v>217</v>
      </c>
      <c r="J571" s="64">
        <f t="shared" si="378"/>
        <v>0</v>
      </c>
      <c r="K571" s="64">
        <f t="shared" si="379"/>
        <v>1736</v>
      </c>
      <c r="L571" s="64">
        <f t="shared" si="380"/>
        <v>1736</v>
      </c>
      <c r="M571" s="73" t="s">
        <v>1657</v>
      </c>
      <c r="N571" s="19"/>
      <c r="Z571" s="35">
        <f t="shared" si="381"/>
        <v>0</v>
      </c>
      <c r="AB571" s="35">
        <f t="shared" si="382"/>
        <v>0</v>
      </c>
      <c r="AC571" s="35">
        <f t="shared" si="383"/>
        <v>0</v>
      </c>
      <c r="AD571" s="35">
        <f t="shared" si="384"/>
        <v>0</v>
      </c>
      <c r="AE571" s="35">
        <f t="shared" si="385"/>
        <v>1736</v>
      </c>
      <c r="AF571" s="35">
        <f t="shared" si="386"/>
        <v>0</v>
      </c>
      <c r="AG571" s="35">
        <f t="shared" si="387"/>
        <v>0</v>
      </c>
      <c r="AH571" s="35">
        <f t="shared" si="388"/>
        <v>0</v>
      </c>
      <c r="AI571" s="77" t="s">
        <v>69</v>
      </c>
      <c r="AJ571" s="64">
        <f t="shared" si="389"/>
        <v>0</v>
      </c>
      <c r="AK571" s="64">
        <f t="shared" si="390"/>
        <v>0</v>
      </c>
      <c r="AL571" s="64">
        <f t="shared" si="391"/>
        <v>1736</v>
      </c>
      <c r="AN571" s="35">
        <v>21</v>
      </c>
      <c r="AO571" s="35">
        <f>I571*0</f>
        <v>0</v>
      </c>
      <c r="AP571" s="35">
        <f>I571*(1-0)</f>
        <v>217</v>
      </c>
      <c r="AQ571" s="78" t="s">
        <v>235</v>
      </c>
      <c r="AV571" s="35">
        <f t="shared" si="392"/>
        <v>1736</v>
      </c>
      <c r="AW571" s="35">
        <f t="shared" si="393"/>
        <v>0</v>
      </c>
      <c r="AX571" s="35">
        <f t="shared" si="394"/>
        <v>1736</v>
      </c>
      <c r="AY571" s="80" t="s">
        <v>1690</v>
      </c>
      <c r="AZ571" s="80" t="s">
        <v>1754</v>
      </c>
      <c r="BA571" s="77" t="s">
        <v>1782</v>
      </c>
      <c r="BC571" s="35">
        <f t="shared" si="395"/>
        <v>1736</v>
      </c>
      <c r="BD571" s="35">
        <f t="shared" si="396"/>
        <v>217</v>
      </c>
      <c r="BE571" s="35">
        <v>0</v>
      </c>
      <c r="BF571" s="35">
        <f>571</f>
        <v>571</v>
      </c>
      <c r="BH571" s="64">
        <f t="shared" si="397"/>
        <v>0</v>
      </c>
      <c r="BI571" s="64">
        <f t="shared" si="398"/>
        <v>1736</v>
      </c>
      <c r="BJ571" s="64">
        <f t="shared" si="399"/>
        <v>1736</v>
      </c>
      <c r="BK571" s="64" t="s">
        <v>1790</v>
      </c>
      <c r="BL571" s="35">
        <v>711</v>
      </c>
    </row>
    <row r="572" spans="1:64">
      <c r="A572" s="47" t="s">
        <v>581</v>
      </c>
      <c r="B572" s="55" t="s">
        <v>69</v>
      </c>
      <c r="C572" s="55" t="s">
        <v>865</v>
      </c>
      <c r="D572" s="165" t="s">
        <v>1274</v>
      </c>
      <c r="E572" s="166"/>
      <c r="F572" s="166"/>
      <c r="G572" s="55" t="s">
        <v>1634</v>
      </c>
      <c r="H572" s="64">
        <v>2.9780000000000001E-2</v>
      </c>
      <c r="I572" s="64">
        <v>687</v>
      </c>
      <c r="J572" s="64">
        <f t="shared" si="378"/>
        <v>0</v>
      </c>
      <c r="K572" s="64">
        <f t="shared" si="379"/>
        <v>20.458860000000001</v>
      </c>
      <c r="L572" s="64">
        <f t="shared" si="380"/>
        <v>20.458860000000001</v>
      </c>
      <c r="M572" s="73" t="s">
        <v>1657</v>
      </c>
      <c r="N572" s="19"/>
      <c r="Z572" s="35">
        <f t="shared" si="381"/>
        <v>20.458860000000001</v>
      </c>
      <c r="AB572" s="35">
        <f t="shared" si="382"/>
        <v>0</v>
      </c>
      <c r="AC572" s="35">
        <f t="shared" si="383"/>
        <v>0</v>
      </c>
      <c r="AD572" s="35">
        <f t="shared" si="384"/>
        <v>0</v>
      </c>
      <c r="AE572" s="35">
        <f t="shared" si="385"/>
        <v>0</v>
      </c>
      <c r="AF572" s="35">
        <f t="shared" si="386"/>
        <v>0</v>
      </c>
      <c r="AG572" s="35">
        <f t="shared" si="387"/>
        <v>0</v>
      </c>
      <c r="AH572" s="35">
        <f t="shared" si="388"/>
        <v>0</v>
      </c>
      <c r="AI572" s="77" t="s">
        <v>69</v>
      </c>
      <c r="AJ572" s="64">
        <f t="shared" si="389"/>
        <v>0</v>
      </c>
      <c r="AK572" s="64">
        <f t="shared" si="390"/>
        <v>0</v>
      </c>
      <c r="AL572" s="64">
        <f t="shared" si="391"/>
        <v>20.458860000000001</v>
      </c>
      <c r="AN572" s="35">
        <v>21</v>
      </c>
      <c r="AO572" s="35">
        <f>I572*0</f>
        <v>0</v>
      </c>
      <c r="AP572" s="35">
        <f>I572*(1-0)</f>
        <v>687</v>
      </c>
      <c r="AQ572" s="78" t="s">
        <v>112</v>
      </c>
      <c r="AV572" s="35">
        <f t="shared" si="392"/>
        <v>20.458860000000001</v>
      </c>
      <c r="AW572" s="35">
        <f t="shared" si="393"/>
        <v>0</v>
      </c>
      <c r="AX572" s="35">
        <f t="shared" si="394"/>
        <v>20.458860000000001</v>
      </c>
      <c r="AY572" s="80" t="s">
        <v>1690</v>
      </c>
      <c r="AZ572" s="80" t="s">
        <v>1754</v>
      </c>
      <c r="BA572" s="77" t="s">
        <v>1782</v>
      </c>
      <c r="BC572" s="35">
        <f t="shared" si="395"/>
        <v>20.458860000000001</v>
      </c>
      <c r="BD572" s="35">
        <f t="shared" si="396"/>
        <v>687</v>
      </c>
      <c r="BE572" s="35">
        <v>0</v>
      </c>
      <c r="BF572" s="35">
        <f>572</f>
        <v>572</v>
      </c>
      <c r="BH572" s="64">
        <f t="shared" si="397"/>
        <v>0</v>
      </c>
      <c r="BI572" s="64">
        <f t="shared" si="398"/>
        <v>20.458860000000001</v>
      </c>
      <c r="BJ572" s="64">
        <f t="shared" si="399"/>
        <v>20.458860000000001</v>
      </c>
      <c r="BK572" s="64" t="s">
        <v>1790</v>
      </c>
      <c r="BL572" s="35">
        <v>711</v>
      </c>
    </row>
    <row r="573" spans="1:64">
      <c r="A573" s="46"/>
      <c r="B573" s="54" t="s">
        <v>69</v>
      </c>
      <c r="C573" s="54" t="s">
        <v>154</v>
      </c>
      <c r="D573" s="163" t="s">
        <v>205</v>
      </c>
      <c r="E573" s="164"/>
      <c r="F573" s="164"/>
      <c r="G573" s="61" t="s">
        <v>57</v>
      </c>
      <c r="H573" s="61" t="s">
        <v>57</v>
      </c>
      <c r="I573" s="61" t="s">
        <v>57</v>
      </c>
      <c r="J573" s="83">
        <f>SUM(J574:J574)</f>
        <v>0</v>
      </c>
      <c r="K573" s="83">
        <f>SUM(K574:K574)</f>
        <v>27690.654600000002</v>
      </c>
      <c r="L573" s="83">
        <f>SUM(L574:L574)</f>
        <v>27690.654600000002</v>
      </c>
      <c r="M573" s="72"/>
      <c r="N573" s="19"/>
      <c r="AI573" s="77" t="s">
        <v>69</v>
      </c>
      <c r="AS573" s="83">
        <f>SUM(AJ574:AJ574)</f>
        <v>0</v>
      </c>
      <c r="AT573" s="83">
        <f>SUM(AK574:AK574)</f>
        <v>0</v>
      </c>
      <c r="AU573" s="83">
        <f>SUM(AL574:AL574)</f>
        <v>27690.654600000002</v>
      </c>
    </row>
    <row r="574" spans="1:64">
      <c r="A574" s="47" t="s">
        <v>582</v>
      </c>
      <c r="B574" s="55" t="s">
        <v>69</v>
      </c>
      <c r="C574" s="55" t="s">
        <v>792</v>
      </c>
      <c r="D574" s="165" t="s">
        <v>1195</v>
      </c>
      <c r="E574" s="166"/>
      <c r="F574" s="166"/>
      <c r="G574" s="55" t="s">
        <v>1634</v>
      </c>
      <c r="H574" s="64">
        <v>102.55798</v>
      </c>
      <c r="I574" s="64">
        <v>270</v>
      </c>
      <c r="J574" s="64">
        <f>H574*AO574</f>
        <v>0</v>
      </c>
      <c r="K574" s="64">
        <f>H574*AP574</f>
        <v>27690.654600000002</v>
      </c>
      <c r="L574" s="64">
        <f>H574*I574</f>
        <v>27690.654600000002</v>
      </c>
      <c r="M574" s="73" t="s">
        <v>1657</v>
      </c>
      <c r="N574" s="19"/>
      <c r="Z574" s="35">
        <f>IF(AQ574="5",BJ574,0)</f>
        <v>27690.654600000002</v>
      </c>
      <c r="AB574" s="35">
        <f>IF(AQ574="1",BH574,0)</f>
        <v>0</v>
      </c>
      <c r="AC574" s="35">
        <f>IF(AQ574="1",BI574,0)</f>
        <v>0</v>
      </c>
      <c r="AD574" s="35">
        <f>IF(AQ574="7",BH574,0)</f>
        <v>0</v>
      </c>
      <c r="AE574" s="35">
        <f>IF(AQ574="7",BI574,0)</f>
        <v>0</v>
      </c>
      <c r="AF574" s="35">
        <f>IF(AQ574="2",BH574,0)</f>
        <v>0</v>
      </c>
      <c r="AG574" s="35">
        <f>IF(AQ574="2",BI574,0)</f>
        <v>0</v>
      </c>
      <c r="AH574" s="35">
        <f>IF(AQ574="0",BJ574,0)</f>
        <v>0</v>
      </c>
      <c r="AI574" s="77" t="s">
        <v>69</v>
      </c>
      <c r="AJ574" s="64">
        <f>IF(AN574=0,L574,0)</f>
        <v>0</v>
      </c>
      <c r="AK574" s="64">
        <f>IF(AN574=15,L574,0)</f>
        <v>0</v>
      </c>
      <c r="AL574" s="64">
        <f>IF(AN574=21,L574,0)</f>
        <v>27690.654600000002</v>
      </c>
      <c r="AN574" s="35">
        <v>21</v>
      </c>
      <c r="AO574" s="35">
        <f>I574*0</f>
        <v>0</v>
      </c>
      <c r="AP574" s="35">
        <f>I574*(1-0)</f>
        <v>270</v>
      </c>
      <c r="AQ574" s="78" t="s">
        <v>112</v>
      </c>
      <c r="AV574" s="35">
        <f>AW574+AX574</f>
        <v>27690.654600000002</v>
      </c>
      <c r="AW574" s="35">
        <f>H574*AO574</f>
        <v>0</v>
      </c>
      <c r="AX574" s="35">
        <f>H574*AP574</f>
        <v>27690.654600000002</v>
      </c>
      <c r="AY574" s="80" t="s">
        <v>1693</v>
      </c>
      <c r="AZ574" s="80" t="s">
        <v>1753</v>
      </c>
      <c r="BA574" s="77" t="s">
        <v>1782</v>
      </c>
      <c r="BC574" s="35">
        <f>AW574+AX574</f>
        <v>27690.654600000002</v>
      </c>
      <c r="BD574" s="35">
        <f>I574/(100-BE574)*100</f>
        <v>270</v>
      </c>
      <c r="BE574" s="35">
        <v>0</v>
      </c>
      <c r="BF574" s="35">
        <f>574</f>
        <v>574</v>
      </c>
      <c r="BH574" s="64">
        <f>H574*AO574</f>
        <v>0</v>
      </c>
      <c r="BI574" s="64">
        <f>H574*AP574</f>
        <v>27690.654600000002</v>
      </c>
      <c r="BJ574" s="64">
        <f>H574*I574</f>
        <v>27690.654600000002</v>
      </c>
      <c r="BK574" s="64" t="s">
        <v>1790</v>
      </c>
      <c r="BL574" s="35" t="s">
        <v>154</v>
      </c>
    </row>
    <row r="575" spans="1:64">
      <c r="A575" s="46"/>
      <c r="B575" s="54" t="s">
        <v>69</v>
      </c>
      <c r="C575" s="54" t="s">
        <v>164</v>
      </c>
      <c r="D575" s="163" t="s">
        <v>214</v>
      </c>
      <c r="E575" s="164"/>
      <c r="F575" s="164"/>
      <c r="G575" s="61" t="s">
        <v>57</v>
      </c>
      <c r="H575" s="61" t="s">
        <v>57</v>
      </c>
      <c r="I575" s="61" t="s">
        <v>57</v>
      </c>
      <c r="J575" s="83">
        <f>SUM(J576:J576)</f>
        <v>0</v>
      </c>
      <c r="K575" s="83">
        <f>SUM(K576:K576)</f>
        <v>13710.06</v>
      </c>
      <c r="L575" s="83">
        <f>SUM(L576:L576)</f>
        <v>13710.06</v>
      </c>
      <c r="M575" s="72"/>
      <c r="N575" s="19"/>
      <c r="AI575" s="77" t="s">
        <v>69</v>
      </c>
      <c r="AS575" s="83">
        <f>SUM(AJ576:AJ576)</f>
        <v>0</v>
      </c>
      <c r="AT575" s="83">
        <f>SUM(AK576:AK576)</f>
        <v>0</v>
      </c>
      <c r="AU575" s="83">
        <f>SUM(AL576:AL576)</f>
        <v>13710.06</v>
      </c>
    </row>
    <row r="576" spans="1:64">
      <c r="A576" s="47" t="s">
        <v>583</v>
      </c>
      <c r="B576" s="55" t="s">
        <v>69</v>
      </c>
      <c r="C576" s="55" t="s">
        <v>1011</v>
      </c>
      <c r="D576" s="165" t="s">
        <v>1507</v>
      </c>
      <c r="E576" s="166"/>
      <c r="F576" s="166"/>
      <c r="G576" s="55" t="s">
        <v>1638</v>
      </c>
      <c r="H576" s="64">
        <v>49.14</v>
      </c>
      <c r="I576" s="64">
        <v>279</v>
      </c>
      <c r="J576" s="64">
        <f>H576*AO576</f>
        <v>0</v>
      </c>
      <c r="K576" s="64">
        <f>H576*AP576</f>
        <v>13710.06</v>
      </c>
      <c r="L576" s="64">
        <f>H576*I576</f>
        <v>13710.06</v>
      </c>
      <c r="M576" s="73" t="s">
        <v>1657</v>
      </c>
      <c r="N576" s="19"/>
      <c r="Z576" s="35">
        <f>IF(AQ576="5",BJ576,0)</f>
        <v>0</v>
      </c>
      <c r="AB576" s="35">
        <f>IF(AQ576="1",BH576,0)</f>
        <v>0</v>
      </c>
      <c r="AC576" s="35">
        <f>IF(AQ576="1",BI576,0)</f>
        <v>13710.06</v>
      </c>
      <c r="AD576" s="35">
        <f>IF(AQ576="7",BH576,0)</f>
        <v>0</v>
      </c>
      <c r="AE576" s="35">
        <f>IF(AQ576="7",BI576,0)</f>
        <v>0</v>
      </c>
      <c r="AF576" s="35">
        <f>IF(AQ576="2",BH576,0)</f>
        <v>0</v>
      </c>
      <c r="AG576" s="35">
        <f>IF(AQ576="2",BI576,0)</f>
        <v>0</v>
      </c>
      <c r="AH576" s="35">
        <f>IF(AQ576="0",BJ576,0)</f>
        <v>0</v>
      </c>
      <c r="AI576" s="77" t="s">
        <v>69</v>
      </c>
      <c r="AJ576" s="64">
        <f>IF(AN576=0,L576,0)</f>
        <v>0</v>
      </c>
      <c r="AK576" s="64">
        <f>IF(AN576=15,L576,0)</f>
        <v>0</v>
      </c>
      <c r="AL576" s="64">
        <f>IF(AN576=21,L576,0)</f>
        <v>13710.06</v>
      </c>
      <c r="AN576" s="35">
        <v>21</v>
      </c>
      <c r="AO576" s="35">
        <f>I576*0</f>
        <v>0</v>
      </c>
      <c r="AP576" s="35">
        <f>I576*(1-0)</f>
        <v>279</v>
      </c>
      <c r="AQ576" s="78" t="s">
        <v>109</v>
      </c>
      <c r="AV576" s="35">
        <f>AW576+AX576</f>
        <v>13710.06</v>
      </c>
      <c r="AW576" s="35">
        <f>H576*AO576</f>
        <v>0</v>
      </c>
      <c r="AX576" s="35">
        <f>H576*AP576</f>
        <v>13710.06</v>
      </c>
      <c r="AY576" s="80" t="s">
        <v>1703</v>
      </c>
      <c r="AZ576" s="80" t="s">
        <v>1755</v>
      </c>
      <c r="BA576" s="77" t="s">
        <v>1782</v>
      </c>
      <c r="BC576" s="35">
        <f>AW576+AX576</f>
        <v>13710.06</v>
      </c>
      <c r="BD576" s="35">
        <f>I576/(100-BE576)*100</f>
        <v>279</v>
      </c>
      <c r="BE576" s="35">
        <v>0</v>
      </c>
      <c r="BF576" s="35">
        <f>576</f>
        <v>576</v>
      </c>
      <c r="BH576" s="64">
        <f>H576*AO576</f>
        <v>0</v>
      </c>
      <c r="BI576" s="64">
        <f>H576*AP576</f>
        <v>13710.06</v>
      </c>
      <c r="BJ576" s="64">
        <f>H576*I576</f>
        <v>13710.06</v>
      </c>
      <c r="BK576" s="64" t="s">
        <v>1790</v>
      </c>
      <c r="BL576" s="35">
        <v>13</v>
      </c>
    </row>
    <row r="577" spans="1:64">
      <c r="A577" s="46"/>
      <c r="B577" s="54" t="s">
        <v>69</v>
      </c>
      <c r="C577" s="54" t="s">
        <v>165</v>
      </c>
      <c r="D577" s="163" t="s">
        <v>215</v>
      </c>
      <c r="E577" s="164"/>
      <c r="F577" s="164"/>
      <c r="G577" s="61" t="s">
        <v>57</v>
      </c>
      <c r="H577" s="61" t="s">
        <v>57</v>
      </c>
      <c r="I577" s="61" t="s">
        <v>57</v>
      </c>
      <c r="J577" s="83">
        <f>SUM(J578:J580)</f>
        <v>0</v>
      </c>
      <c r="K577" s="83">
        <f>SUM(K578:K580)</f>
        <v>2118.8704000000002</v>
      </c>
      <c r="L577" s="83">
        <f>SUM(L578:L580)</f>
        <v>2118.8704000000002</v>
      </c>
      <c r="M577" s="72"/>
      <c r="N577" s="19"/>
      <c r="AI577" s="77" t="s">
        <v>69</v>
      </c>
      <c r="AS577" s="83">
        <f>SUM(AJ578:AJ580)</f>
        <v>0</v>
      </c>
      <c r="AT577" s="83">
        <f>SUM(AK578:AK580)</f>
        <v>0</v>
      </c>
      <c r="AU577" s="83">
        <f>SUM(AL578:AL580)</f>
        <v>2118.8704000000002</v>
      </c>
    </row>
    <row r="578" spans="1:64">
      <c r="A578" s="47" t="s">
        <v>584</v>
      </c>
      <c r="B578" s="55" t="s">
        <v>69</v>
      </c>
      <c r="C578" s="55" t="s">
        <v>1012</v>
      </c>
      <c r="D578" s="165" t="s">
        <v>1508</v>
      </c>
      <c r="E578" s="166"/>
      <c r="F578" s="166"/>
      <c r="G578" s="55" t="s">
        <v>1638</v>
      </c>
      <c r="H578" s="64">
        <v>0.60840000000000005</v>
      </c>
      <c r="I578" s="64">
        <v>1966</v>
      </c>
      <c r="J578" s="64">
        <f>H578*AO578</f>
        <v>0</v>
      </c>
      <c r="K578" s="64">
        <f>H578*AP578</f>
        <v>1196.1144000000002</v>
      </c>
      <c r="L578" s="64">
        <f>H578*I578</f>
        <v>1196.1144000000002</v>
      </c>
      <c r="M578" s="73" t="s">
        <v>1657</v>
      </c>
      <c r="N578" s="19"/>
      <c r="Z578" s="35">
        <f>IF(AQ578="5",BJ578,0)</f>
        <v>0</v>
      </c>
      <c r="AB578" s="35">
        <f>IF(AQ578="1",BH578,0)</f>
        <v>0</v>
      </c>
      <c r="AC578" s="35">
        <f>IF(AQ578="1",BI578,0)</f>
        <v>1196.1144000000002</v>
      </c>
      <c r="AD578" s="35">
        <f>IF(AQ578="7",BH578,0)</f>
        <v>0</v>
      </c>
      <c r="AE578" s="35">
        <f>IF(AQ578="7",BI578,0)</f>
        <v>0</v>
      </c>
      <c r="AF578" s="35">
        <f>IF(AQ578="2",BH578,0)</f>
        <v>0</v>
      </c>
      <c r="AG578" s="35">
        <f>IF(AQ578="2",BI578,0)</f>
        <v>0</v>
      </c>
      <c r="AH578" s="35">
        <f>IF(AQ578="0",BJ578,0)</f>
        <v>0</v>
      </c>
      <c r="AI578" s="77" t="s">
        <v>69</v>
      </c>
      <c r="AJ578" s="64">
        <f>IF(AN578=0,L578,0)</f>
        <v>0</v>
      </c>
      <c r="AK578" s="64">
        <f>IF(AN578=15,L578,0)</f>
        <v>0</v>
      </c>
      <c r="AL578" s="64">
        <f>IF(AN578=21,L578,0)</f>
        <v>1196.1144000000002</v>
      </c>
      <c r="AN578" s="35">
        <v>21</v>
      </c>
      <c r="AO578" s="35">
        <f>I578*0</f>
        <v>0</v>
      </c>
      <c r="AP578" s="35">
        <f>I578*(1-0)</f>
        <v>1966</v>
      </c>
      <c r="AQ578" s="78" t="s">
        <v>109</v>
      </c>
      <c r="AV578" s="35">
        <f>AW578+AX578</f>
        <v>1196.1144000000002</v>
      </c>
      <c r="AW578" s="35">
        <f>H578*AO578</f>
        <v>0</v>
      </c>
      <c r="AX578" s="35">
        <f>H578*AP578</f>
        <v>1196.1144000000002</v>
      </c>
      <c r="AY578" s="80" t="s">
        <v>1704</v>
      </c>
      <c r="AZ578" s="80" t="s">
        <v>1756</v>
      </c>
      <c r="BA578" s="77" t="s">
        <v>1782</v>
      </c>
      <c r="BC578" s="35">
        <f>AW578+AX578</f>
        <v>1196.1144000000002</v>
      </c>
      <c r="BD578" s="35">
        <f>I578/(100-BE578)*100</f>
        <v>1966</v>
      </c>
      <c r="BE578" s="35">
        <v>0</v>
      </c>
      <c r="BF578" s="35">
        <f>578</f>
        <v>578</v>
      </c>
      <c r="BH578" s="64">
        <f>H578*AO578</f>
        <v>0</v>
      </c>
      <c r="BI578" s="64">
        <f>H578*AP578</f>
        <v>1196.1144000000002</v>
      </c>
      <c r="BJ578" s="64">
        <f>H578*I578</f>
        <v>1196.1144000000002</v>
      </c>
      <c r="BK578" s="64" t="s">
        <v>1790</v>
      </c>
      <c r="BL578" s="35">
        <v>27</v>
      </c>
    </row>
    <row r="579" spans="1:64">
      <c r="A579" s="47" t="s">
        <v>585</v>
      </c>
      <c r="B579" s="55" t="s">
        <v>69</v>
      </c>
      <c r="C579" s="55" t="s">
        <v>1013</v>
      </c>
      <c r="D579" s="165" t="s">
        <v>1509</v>
      </c>
      <c r="E579" s="166"/>
      <c r="F579" s="166"/>
      <c r="G579" s="55" t="s">
        <v>1632</v>
      </c>
      <c r="H579" s="64">
        <v>1.3959999999999999</v>
      </c>
      <c r="I579" s="64">
        <v>570</v>
      </c>
      <c r="J579" s="64">
        <f>H579*AO579</f>
        <v>0</v>
      </c>
      <c r="K579" s="64">
        <f>H579*AP579</f>
        <v>795.71999999999991</v>
      </c>
      <c r="L579" s="64">
        <f>H579*I579</f>
        <v>795.71999999999991</v>
      </c>
      <c r="M579" s="73" t="s">
        <v>1657</v>
      </c>
      <c r="N579" s="19"/>
      <c r="Z579" s="35">
        <f>IF(AQ579="5",BJ579,0)</f>
        <v>0</v>
      </c>
      <c r="AB579" s="35">
        <f>IF(AQ579="1",BH579,0)</f>
        <v>0</v>
      </c>
      <c r="AC579" s="35">
        <f>IF(AQ579="1",BI579,0)</f>
        <v>795.71999999999991</v>
      </c>
      <c r="AD579" s="35">
        <f>IF(AQ579="7",BH579,0)</f>
        <v>0</v>
      </c>
      <c r="AE579" s="35">
        <f>IF(AQ579="7",BI579,0)</f>
        <v>0</v>
      </c>
      <c r="AF579" s="35">
        <f>IF(AQ579="2",BH579,0)</f>
        <v>0</v>
      </c>
      <c r="AG579" s="35">
        <f>IF(AQ579="2",BI579,0)</f>
        <v>0</v>
      </c>
      <c r="AH579" s="35">
        <f>IF(AQ579="0",BJ579,0)</f>
        <v>0</v>
      </c>
      <c r="AI579" s="77" t="s">
        <v>69</v>
      </c>
      <c r="AJ579" s="64">
        <f>IF(AN579=0,L579,0)</f>
        <v>0</v>
      </c>
      <c r="AK579" s="64">
        <f>IF(AN579=15,L579,0)</f>
        <v>0</v>
      </c>
      <c r="AL579" s="64">
        <f>IF(AN579=21,L579,0)</f>
        <v>795.71999999999991</v>
      </c>
      <c r="AN579" s="35">
        <v>21</v>
      </c>
      <c r="AO579" s="35">
        <f>I579*0</f>
        <v>0</v>
      </c>
      <c r="AP579" s="35">
        <f>I579*(1-0)</f>
        <v>570</v>
      </c>
      <c r="AQ579" s="78" t="s">
        <v>109</v>
      </c>
      <c r="AV579" s="35">
        <f>AW579+AX579</f>
        <v>795.71999999999991</v>
      </c>
      <c r="AW579" s="35">
        <f>H579*AO579</f>
        <v>0</v>
      </c>
      <c r="AX579" s="35">
        <f>H579*AP579</f>
        <v>795.71999999999991</v>
      </c>
      <c r="AY579" s="80" t="s">
        <v>1704</v>
      </c>
      <c r="AZ579" s="80" t="s">
        <v>1756</v>
      </c>
      <c r="BA579" s="77" t="s">
        <v>1782</v>
      </c>
      <c r="BC579" s="35">
        <f>AW579+AX579</f>
        <v>795.71999999999991</v>
      </c>
      <c r="BD579" s="35">
        <f>I579/(100-BE579)*100</f>
        <v>570</v>
      </c>
      <c r="BE579" s="35">
        <v>0</v>
      </c>
      <c r="BF579" s="35">
        <f>579</f>
        <v>579</v>
      </c>
      <c r="BH579" s="64">
        <f>H579*AO579</f>
        <v>0</v>
      </c>
      <c r="BI579" s="64">
        <f>H579*AP579</f>
        <v>795.71999999999991</v>
      </c>
      <c r="BJ579" s="64">
        <f>H579*I579</f>
        <v>795.71999999999991</v>
      </c>
      <c r="BK579" s="64" t="s">
        <v>1790</v>
      </c>
      <c r="BL579" s="35">
        <v>27</v>
      </c>
    </row>
    <row r="580" spans="1:64">
      <c r="A580" s="47" t="s">
        <v>586</v>
      </c>
      <c r="B580" s="55" t="s">
        <v>69</v>
      </c>
      <c r="C580" s="55" t="s">
        <v>1014</v>
      </c>
      <c r="D580" s="165" t="s">
        <v>1510</v>
      </c>
      <c r="E580" s="166"/>
      <c r="F580" s="166"/>
      <c r="G580" s="55" t="s">
        <v>1632</v>
      </c>
      <c r="H580" s="64">
        <v>1.3959999999999999</v>
      </c>
      <c r="I580" s="64">
        <v>91</v>
      </c>
      <c r="J580" s="64">
        <f>H580*AO580</f>
        <v>0</v>
      </c>
      <c r="K580" s="64">
        <f>H580*AP580</f>
        <v>127.03599999999999</v>
      </c>
      <c r="L580" s="64">
        <f>H580*I580</f>
        <v>127.03599999999999</v>
      </c>
      <c r="M580" s="73" t="s">
        <v>1657</v>
      </c>
      <c r="N580" s="19"/>
      <c r="Z580" s="35">
        <f>IF(AQ580="5",BJ580,0)</f>
        <v>0</v>
      </c>
      <c r="AB580" s="35">
        <f>IF(AQ580="1",BH580,0)</f>
        <v>0</v>
      </c>
      <c r="AC580" s="35">
        <f>IF(AQ580="1",BI580,0)</f>
        <v>127.03599999999999</v>
      </c>
      <c r="AD580" s="35">
        <f>IF(AQ580="7",BH580,0)</f>
        <v>0</v>
      </c>
      <c r="AE580" s="35">
        <f>IF(AQ580="7",BI580,0)</f>
        <v>0</v>
      </c>
      <c r="AF580" s="35">
        <f>IF(AQ580="2",BH580,0)</f>
        <v>0</v>
      </c>
      <c r="AG580" s="35">
        <f>IF(AQ580="2",BI580,0)</f>
        <v>0</v>
      </c>
      <c r="AH580" s="35">
        <f>IF(AQ580="0",BJ580,0)</f>
        <v>0</v>
      </c>
      <c r="AI580" s="77" t="s">
        <v>69</v>
      </c>
      <c r="AJ580" s="64">
        <f>IF(AN580=0,L580,0)</f>
        <v>0</v>
      </c>
      <c r="AK580" s="64">
        <f>IF(AN580=15,L580,0)</f>
        <v>0</v>
      </c>
      <c r="AL580" s="64">
        <f>IF(AN580=21,L580,0)</f>
        <v>127.03599999999999</v>
      </c>
      <c r="AN580" s="35">
        <v>21</v>
      </c>
      <c r="AO580" s="35">
        <f>I580*0</f>
        <v>0</v>
      </c>
      <c r="AP580" s="35">
        <f>I580*(1-0)</f>
        <v>91</v>
      </c>
      <c r="AQ580" s="78" t="s">
        <v>109</v>
      </c>
      <c r="AV580" s="35">
        <f>AW580+AX580</f>
        <v>127.03599999999999</v>
      </c>
      <c r="AW580" s="35">
        <f>H580*AO580</f>
        <v>0</v>
      </c>
      <c r="AX580" s="35">
        <f>H580*AP580</f>
        <v>127.03599999999999</v>
      </c>
      <c r="AY580" s="80" t="s">
        <v>1704</v>
      </c>
      <c r="AZ580" s="80" t="s">
        <v>1756</v>
      </c>
      <c r="BA580" s="77" t="s">
        <v>1782</v>
      </c>
      <c r="BC580" s="35">
        <f>AW580+AX580</f>
        <v>127.03599999999999</v>
      </c>
      <c r="BD580" s="35">
        <f>I580/(100-BE580)*100</f>
        <v>91</v>
      </c>
      <c r="BE580" s="35">
        <v>0</v>
      </c>
      <c r="BF580" s="35">
        <f>580</f>
        <v>580</v>
      </c>
      <c r="BH580" s="64">
        <f>H580*AO580</f>
        <v>0</v>
      </c>
      <c r="BI580" s="64">
        <f>H580*AP580</f>
        <v>127.03599999999999</v>
      </c>
      <c r="BJ580" s="64">
        <f>H580*I580</f>
        <v>127.03599999999999</v>
      </c>
      <c r="BK580" s="64" t="s">
        <v>1790</v>
      </c>
      <c r="BL580" s="35">
        <v>27</v>
      </c>
    </row>
    <row r="581" spans="1:64">
      <c r="A581" s="46"/>
      <c r="B581" s="54" t="s">
        <v>69</v>
      </c>
      <c r="C581" s="54" t="s">
        <v>166</v>
      </c>
      <c r="D581" s="163" t="s">
        <v>216</v>
      </c>
      <c r="E581" s="164"/>
      <c r="F581" s="164"/>
      <c r="G581" s="61" t="s">
        <v>57</v>
      </c>
      <c r="H581" s="61" t="s">
        <v>57</v>
      </c>
      <c r="I581" s="61" t="s">
        <v>57</v>
      </c>
      <c r="J581" s="83">
        <f>SUM(J582:J586)</f>
        <v>0</v>
      </c>
      <c r="K581" s="83">
        <f>SUM(K582:K586)</f>
        <v>9269.8770800000002</v>
      </c>
      <c r="L581" s="83">
        <f>SUM(L582:L586)</f>
        <v>9269.8770800000002</v>
      </c>
      <c r="M581" s="72"/>
      <c r="N581" s="19"/>
      <c r="AI581" s="77" t="s">
        <v>69</v>
      </c>
      <c r="AS581" s="83">
        <f>SUM(AJ582:AJ586)</f>
        <v>0</v>
      </c>
      <c r="AT581" s="83">
        <f>SUM(AK582:AK586)</f>
        <v>0</v>
      </c>
      <c r="AU581" s="83">
        <f>SUM(AL582:AL586)</f>
        <v>9269.8770800000002</v>
      </c>
    </row>
    <row r="582" spans="1:64">
      <c r="A582" s="47" t="s">
        <v>587</v>
      </c>
      <c r="B582" s="55" t="s">
        <v>69</v>
      </c>
      <c r="C582" s="55" t="s">
        <v>1015</v>
      </c>
      <c r="D582" s="165" t="s">
        <v>1511</v>
      </c>
      <c r="E582" s="166"/>
      <c r="F582" s="166"/>
      <c r="G582" s="55" t="s">
        <v>1638</v>
      </c>
      <c r="H582" s="64">
        <v>1.54494</v>
      </c>
      <c r="I582" s="64">
        <v>3074</v>
      </c>
      <c r="J582" s="64">
        <f>H582*AO582</f>
        <v>0</v>
      </c>
      <c r="K582" s="64">
        <f>H582*AP582</f>
        <v>4749.1455599999999</v>
      </c>
      <c r="L582" s="64">
        <f>H582*I582</f>
        <v>4749.1455599999999</v>
      </c>
      <c r="M582" s="73" t="s">
        <v>1657</v>
      </c>
      <c r="N582" s="19"/>
      <c r="Z582" s="35">
        <f>IF(AQ582="5",BJ582,0)</f>
        <v>0</v>
      </c>
      <c r="AB582" s="35">
        <f>IF(AQ582="1",BH582,0)</f>
        <v>0</v>
      </c>
      <c r="AC582" s="35">
        <f>IF(AQ582="1",BI582,0)</f>
        <v>4749.1455599999999</v>
      </c>
      <c r="AD582" s="35">
        <f>IF(AQ582="7",BH582,0)</f>
        <v>0</v>
      </c>
      <c r="AE582" s="35">
        <f>IF(AQ582="7",BI582,0)</f>
        <v>0</v>
      </c>
      <c r="AF582" s="35">
        <f>IF(AQ582="2",BH582,0)</f>
        <v>0</v>
      </c>
      <c r="AG582" s="35">
        <f>IF(AQ582="2",BI582,0)</f>
        <v>0</v>
      </c>
      <c r="AH582" s="35">
        <f>IF(AQ582="0",BJ582,0)</f>
        <v>0</v>
      </c>
      <c r="AI582" s="77" t="s">
        <v>69</v>
      </c>
      <c r="AJ582" s="64">
        <f>IF(AN582=0,L582,0)</f>
        <v>0</v>
      </c>
      <c r="AK582" s="64">
        <f>IF(AN582=15,L582,0)</f>
        <v>0</v>
      </c>
      <c r="AL582" s="64">
        <f>IF(AN582=21,L582,0)</f>
        <v>4749.1455599999999</v>
      </c>
      <c r="AN582" s="35">
        <v>21</v>
      </c>
      <c r="AO582" s="35">
        <f>I582*0</f>
        <v>0</v>
      </c>
      <c r="AP582" s="35">
        <f>I582*(1-0)</f>
        <v>3074</v>
      </c>
      <c r="AQ582" s="78" t="s">
        <v>109</v>
      </c>
      <c r="AV582" s="35">
        <f>AW582+AX582</f>
        <v>4749.1455599999999</v>
      </c>
      <c r="AW582" s="35">
        <f>H582*AO582</f>
        <v>0</v>
      </c>
      <c r="AX582" s="35">
        <f>H582*AP582</f>
        <v>4749.1455599999999</v>
      </c>
      <c r="AY582" s="80" t="s">
        <v>1705</v>
      </c>
      <c r="AZ582" s="80" t="s">
        <v>1757</v>
      </c>
      <c r="BA582" s="77" t="s">
        <v>1782</v>
      </c>
      <c r="BC582" s="35">
        <f>AW582+AX582</f>
        <v>4749.1455599999999</v>
      </c>
      <c r="BD582" s="35">
        <f>I582/(100-BE582)*100</f>
        <v>3074</v>
      </c>
      <c r="BE582" s="35">
        <v>0</v>
      </c>
      <c r="BF582" s="35">
        <f>582</f>
        <v>582</v>
      </c>
      <c r="BH582" s="64">
        <f>H582*AO582</f>
        <v>0</v>
      </c>
      <c r="BI582" s="64">
        <f>H582*AP582</f>
        <v>4749.1455599999999</v>
      </c>
      <c r="BJ582" s="64">
        <f>H582*I582</f>
        <v>4749.1455599999999</v>
      </c>
      <c r="BK582" s="64" t="s">
        <v>1790</v>
      </c>
      <c r="BL582" s="35">
        <v>43</v>
      </c>
    </row>
    <row r="583" spans="1:64">
      <c r="A583" s="47" t="s">
        <v>588</v>
      </c>
      <c r="B583" s="55" t="s">
        <v>69</v>
      </c>
      <c r="C583" s="55" t="s">
        <v>1016</v>
      </c>
      <c r="D583" s="165" t="s">
        <v>1512</v>
      </c>
      <c r="E583" s="166"/>
      <c r="F583" s="166"/>
      <c r="G583" s="55" t="s">
        <v>1634</v>
      </c>
      <c r="H583" s="64">
        <v>2.2960000000000001E-2</v>
      </c>
      <c r="I583" s="64">
        <v>26237</v>
      </c>
      <c r="J583" s="64">
        <f>H583*AO583</f>
        <v>0</v>
      </c>
      <c r="K583" s="64">
        <f>H583*AP583</f>
        <v>602.40152</v>
      </c>
      <c r="L583" s="64">
        <f>H583*I583</f>
        <v>602.40152</v>
      </c>
      <c r="M583" s="73" t="s">
        <v>1657</v>
      </c>
      <c r="N583" s="19"/>
      <c r="Z583" s="35">
        <f>IF(AQ583="5",BJ583,0)</f>
        <v>0</v>
      </c>
      <c r="AB583" s="35">
        <f>IF(AQ583="1",BH583,0)</f>
        <v>0</v>
      </c>
      <c r="AC583" s="35">
        <f>IF(AQ583="1",BI583,0)</f>
        <v>602.40152</v>
      </c>
      <c r="AD583" s="35">
        <f>IF(AQ583="7",BH583,0)</f>
        <v>0</v>
      </c>
      <c r="AE583" s="35">
        <f>IF(AQ583="7",BI583,0)</f>
        <v>0</v>
      </c>
      <c r="AF583" s="35">
        <f>IF(AQ583="2",BH583,0)</f>
        <v>0</v>
      </c>
      <c r="AG583" s="35">
        <f>IF(AQ583="2",BI583,0)</f>
        <v>0</v>
      </c>
      <c r="AH583" s="35">
        <f>IF(AQ583="0",BJ583,0)</f>
        <v>0</v>
      </c>
      <c r="AI583" s="77" t="s">
        <v>69</v>
      </c>
      <c r="AJ583" s="64">
        <f>IF(AN583=0,L583,0)</f>
        <v>0</v>
      </c>
      <c r="AK583" s="64">
        <f>IF(AN583=15,L583,0)</f>
        <v>0</v>
      </c>
      <c r="AL583" s="64">
        <f>IF(AN583=21,L583,0)</f>
        <v>602.40152</v>
      </c>
      <c r="AN583" s="35">
        <v>21</v>
      </c>
      <c r="AO583" s="35">
        <f>I583*0</f>
        <v>0</v>
      </c>
      <c r="AP583" s="35">
        <f>I583*(1-0)</f>
        <v>26237</v>
      </c>
      <c r="AQ583" s="78" t="s">
        <v>109</v>
      </c>
      <c r="AV583" s="35">
        <f>AW583+AX583</f>
        <v>602.40152</v>
      </c>
      <c r="AW583" s="35">
        <f>H583*AO583</f>
        <v>0</v>
      </c>
      <c r="AX583" s="35">
        <f>H583*AP583</f>
        <v>602.40152</v>
      </c>
      <c r="AY583" s="80" t="s">
        <v>1705</v>
      </c>
      <c r="AZ583" s="80" t="s">
        <v>1757</v>
      </c>
      <c r="BA583" s="77" t="s">
        <v>1782</v>
      </c>
      <c r="BC583" s="35">
        <f>AW583+AX583</f>
        <v>602.40152</v>
      </c>
      <c r="BD583" s="35">
        <f>I583/(100-BE583)*100</f>
        <v>26237</v>
      </c>
      <c r="BE583" s="35">
        <v>0</v>
      </c>
      <c r="BF583" s="35">
        <f>583</f>
        <v>583</v>
      </c>
      <c r="BH583" s="64">
        <f>H583*AO583</f>
        <v>0</v>
      </c>
      <c r="BI583" s="64">
        <f>H583*AP583</f>
        <v>602.40152</v>
      </c>
      <c r="BJ583" s="64">
        <f>H583*I583</f>
        <v>602.40152</v>
      </c>
      <c r="BK583" s="64" t="s">
        <v>1790</v>
      </c>
      <c r="BL583" s="35">
        <v>43</v>
      </c>
    </row>
    <row r="584" spans="1:64">
      <c r="A584" s="19"/>
      <c r="C584" s="59" t="s">
        <v>730</v>
      </c>
      <c r="D584" s="167" t="s">
        <v>1513</v>
      </c>
      <c r="E584" s="168"/>
      <c r="F584" s="168"/>
      <c r="G584" s="168"/>
      <c r="H584" s="168"/>
      <c r="I584" s="168"/>
      <c r="J584" s="168"/>
      <c r="K584" s="168"/>
      <c r="L584" s="168"/>
      <c r="M584" s="169"/>
      <c r="N584" s="19"/>
    </row>
    <row r="585" spans="1:64">
      <c r="A585" s="47" t="s">
        <v>589</v>
      </c>
      <c r="B585" s="55" t="s">
        <v>69</v>
      </c>
      <c r="C585" s="55" t="s">
        <v>1017</v>
      </c>
      <c r="D585" s="165" t="s">
        <v>1514</v>
      </c>
      <c r="E585" s="166"/>
      <c r="F585" s="166"/>
      <c r="G585" s="55" t="s">
        <v>1632</v>
      </c>
      <c r="H585" s="64">
        <v>3.9780000000000002</v>
      </c>
      <c r="I585" s="64">
        <v>909</v>
      </c>
      <c r="J585" s="64">
        <f>H585*AO585</f>
        <v>0</v>
      </c>
      <c r="K585" s="64">
        <f>H585*AP585</f>
        <v>3616.0020000000004</v>
      </c>
      <c r="L585" s="64">
        <f>H585*I585</f>
        <v>3616.0020000000004</v>
      </c>
      <c r="M585" s="73" t="s">
        <v>1657</v>
      </c>
      <c r="N585" s="19"/>
      <c r="Z585" s="35">
        <f>IF(AQ585="5",BJ585,0)</f>
        <v>0</v>
      </c>
      <c r="AB585" s="35">
        <f>IF(AQ585="1",BH585,0)</f>
        <v>0</v>
      </c>
      <c r="AC585" s="35">
        <f>IF(AQ585="1",BI585,0)</f>
        <v>3616.0020000000004</v>
      </c>
      <c r="AD585" s="35">
        <f>IF(AQ585="7",BH585,0)</f>
        <v>0</v>
      </c>
      <c r="AE585" s="35">
        <f>IF(AQ585="7",BI585,0)</f>
        <v>0</v>
      </c>
      <c r="AF585" s="35">
        <f>IF(AQ585="2",BH585,0)</f>
        <v>0</v>
      </c>
      <c r="AG585" s="35">
        <f>IF(AQ585="2",BI585,0)</f>
        <v>0</v>
      </c>
      <c r="AH585" s="35">
        <f>IF(AQ585="0",BJ585,0)</f>
        <v>0</v>
      </c>
      <c r="AI585" s="77" t="s">
        <v>69</v>
      </c>
      <c r="AJ585" s="64">
        <f>IF(AN585=0,L585,0)</f>
        <v>0</v>
      </c>
      <c r="AK585" s="64">
        <f>IF(AN585=15,L585,0)</f>
        <v>0</v>
      </c>
      <c r="AL585" s="64">
        <f>IF(AN585=21,L585,0)</f>
        <v>3616.0020000000004</v>
      </c>
      <c r="AN585" s="35">
        <v>21</v>
      </c>
      <c r="AO585" s="35">
        <f>I585*0</f>
        <v>0</v>
      </c>
      <c r="AP585" s="35">
        <f>I585*(1-0)</f>
        <v>909</v>
      </c>
      <c r="AQ585" s="78" t="s">
        <v>109</v>
      </c>
      <c r="AV585" s="35">
        <f>AW585+AX585</f>
        <v>3616.0020000000004</v>
      </c>
      <c r="AW585" s="35">
        <f>H585*AO585</f>
        <v>0</v>
      </c>
      <c r="AX585" s="35">
        <f>H585*AP585</f>
        <v>3616.0020000000004</v>
      </c>
      <c r="AY585" s="80" t="s">
        <v>1705</v>
      </c>
      <c r="AZ585" s="80" t="s">
        <v>1757</v>
      </c>
      <c r="BA585" s="77" t="s">
        <v>1782</v>
      </c>
      <c r="BC585" s="35">
        <f>AW585+AX585</f>
        <v>3616.0020000000004</v>
      </c>
      <c r="BD585" s="35">
        <f>I585/(100-BE585)*100</f>
        <v>909</v>
      </c>
      <c r="BE585" s="35">
        <v>0</v>
      </c>
      <c r="BF585" s="35">
        <f>585</f>
        <v>585</v>
      </c>
      <c r="BH585" s="64">
        <f>H585*AO585</f>
        <v>0</v>
      </c>
      <c r="BI585" s="64">
        <f>H585*AP585</f>
        <v>3616.0020000000004</v>
      </c>
      <c r="BJ585" s="64">
        <f>H585*I585</f>
        <v>3616.0020000000004</v>
      </c>
      <c r="BK585" s="64" t="s">
        <v>1790</v>
      </c>
      <c r="BL585" s="35">
        <v>43</v>
      </c>
    </row>
    <row r="586" spans="1:64">
      <c r="A586" s="47" t="s">
        <v>590</v>
      </c>
      <c r="B586" s="55" t="s">
        <v>69</v>
      </c>
      <c r="C586" s="55" t="s">
        <v>1018</v>
      </c>
      <c r="D586" s="165" t="s">
        <v>1515</v>
      </c>
      <c r="E586" s="166"/>
      <c r="F586" s="166"/>
      <c r="G586" s="55" t="s">
        <v>1632</v>
      </c>
      <c r="H586" s="64">
        <v>3.9780000000000002</v>
      </c>
      <c r="I586" s="64">
        <v>76</v>
      </c>
      <c r="J586" s="64">
        <f>H586*AO586</f>
        <v>0</v>
      </c>
      <c r="K586" s="64">
        <f>H586*AP586</f>
        <v>302.32800000000003</v>
      </c>
      <c r="L586" s="64">
        <f>H586*I586</f>
        <v>302.32800000000003</v>
      </c>
      <c r="M586" s="73" t="s">
        <v>1657</v>
      </c>
      <c r="N586" s="19"/>
      <c r="Z586" s="35">
        <f>IF(AQ586="5",BJ586,0)</f>
        <v>0</v>
      </c>
      <c r="AB586" s="35">
        <f>IF(AQ586="1",BH586,0)</f>
        <v>0</v>
      </c>
      <c r="AC586" s="35">
        <f>IF(AQ586="1",BI586,0)</f>
        <v>302.32800000000003</v>
      </c>
      <c r="AD586" s="35">
        <f>IF(AQ586="7",BH586,0)</f>
        <v>0</v>
      </c>
      <c r="AE586" s="35">
        <f>IF(AQ586="7",BI586,0)</f>
        <v>0</v>
      </c>
      <c r="AF586" s="35">
        <f>IF(AQ586="2",BH586,0)</f>
        <v>0</v>
      </c>
      <c r="AG586" s="35">
        <f>IF(AQ586="2",BI586,0)</f>
        <v>0</v>
      </c>
      <c r="AH586" s="35">
        <f>IF(AQ586="0",BJ586,0)</f>
        <v>0</v>
      </c>
      <c r="AI586" s="77" t="s">
        <v>69</v>
      </c>
      <c r="AJ586" s="64">
        <f>IF(AN586=0,L586,0)</f>
        <v>0</v>
      </c>
      <c r="AK586" s="64">
        <f>IF(AN586=15,L586,0)</f>
        <v>0</v>
      </c>
      <c r="AL586" s="64">
        <f>IF(AN586=21,L586,0)</f>
        <v>302.32800000000003</v>
      </c>
      <c r="AN586" s="35">
        <v>21</v>
      </c>
      <c r="AO586" s="35">
        <f>I586*0</f>
        <v>0</v>
      </c>
      <c r="AP586" s="35">
        <f>I586*(1-0)</f>
        <v>76</v>
      </c>
      <c r="AQ586" s="78" t="s">
        <v>109</v>
      </c>
      <c r="AV586" s="35">
        <f>AW586+AX586</f>
        <v>302.32800000000003</v>
      </c>
      <c r="AW586" s="35">
        <f>H586*AO586</f>
        <v>0</v>
      </c>
      <c r="AX586" s="35">
        <f>H586*AP586</f>
        <v>302.32800000000003</v>
      </c>
      <c r="AY586" s="80" t="s">
        <v>1705</v>
      </c>
      <c r="AZ586" s="80" t="s">
        <v>1757</v>
      </c>
      <c r="BA586" s="77" t="s">
        <v>1782</v>
      </c>
      <c r="BC586" s="35">
        <f>AW586+AX586</f>
        <v>302.32800000000003</v>
      </c>
      <c r="BD586" s="35">
        <f>I586/(100-BE586)*100</f>
        <v>76</v>
      </c>
      <c r="BE586" s="35">
        <v>0</v>
      </c>
      <c r="BF586" s="35">
        <f>586</f>
        <v>586</v>
      </c>
      <c r="BH586" s="64">
        <f>H586*AO586</f>
        <v>0</v>
      </c>
      <c r="BI586" s="64">
        <f>H586*AP586</f>
        <v>302.32800000000003</v>
      </c>
      <c r="BJ586" s="64">
        <f>H586*I586</f>
        <v>302.32800000000003</v>
      </c>
      <c r="BK586" s="64" t="s">
        <v>1790</v>
      </c>
      <c r="BL586" s="35">
        <v>43</v>
      </c>
    </row>
    <row r="587" spans="1:64">
      <c r="A587" s="49"/>
      <c r="B587" s="57" t="s">
        <v>70</v>
      </c>
      <c r="C587" s="57"/>
      <c r="D587" s="172" t="s">
        <v>86</v>
      </c>
      <c r="E587" s="173"/>
      <c r="F587" s="173"/>
      <c r="G587" s="62" t="s">
        <v>57</v>
      </c>
      <c r="H587" s="62" t="s">
        <v>57</v>
      </c>
      <c r="I587" s="62" t="s">
        <v>57</v>
      </c>
      <c r="J587" s="84">
        <f>J588+J596+J604</f>
        <v>34586.556639999995</v>
      </c>
      <c r="K587" s="84">
        <f>K588+K596+K604</f>
        <v>411481.52672000002</v>
      </c>
      <c r="L587" s="84">
        <f>L588+L596+L604</f>
        <v>446068.08335999999</v>
      </c>
      <c r="M587" s="75"/>
      <c r="N587" s="19"/>
    </row>
    <row r="588" spans="1:64">
      <c r="A588" s="46"/>
      <c r="B588" s="54" t="s">
        <v>70</v>
      </c>
      <c r="C588" s="54" t="s">
        <v>135</v>
      </c>
      <c r="D588" s="163" t="s">
        <v>186</v>
      </c>
      <c r="E588" s="164"/>
      <c r="F588" s="164"/>
      <c r="G588" s="61" t="s">
        <v>57</v>
      </c>
      <c r="H588" s="61" t="s">
        <v>57</v>
      </c>
      <c r="I588" s="61" t="s">
        <v>57</v>
      </c>
      <c r="J588" s="83">
        <f>SUM(J589:J595)</f>
        <v>34586.556639999995</v>
      </c>
      <c r="K588" s="83">
        <f>SUM(K589:K595)</f>
        <v>155841.22902999999</v>
      </c>
      <c r="L588" s="83">
        <f>SUM(L589:L595)</f>
        <v>190427.78566999995</v>
      </c>
      <c r="M588" s="72"/>
      <c r="N588" s="19"/>
      <c r="AI588" s="77" t="s">
        <v>70</v>
      </c>
      <c r="AS588" s="83">
        <f>SUM(AJ589:AJ595)</f>
        <v>0</v>
      </c>
      <c r="AT588" s="83">
        <f>SUM(AK589:AK595)</f>
        <v>0</v>
      </c>
      <c r="AU588" s="83">
        <f>SUM(AL589:AL595)</f>
        <v>190427.78566999995</v>
      </c>
    </row>
    <row r="589" spans="1:64">
      <c r="A589" s="47" t="s">
        <v>591</v>
      </c>
      <c r="B589" s="55" t="s">
        <v>70</v>
      </c>
      <c r="C589" s="55" t="s">
        <v>1019</v>
      </c>
      <c r="D589" s="165" t="s">
        <v>1516</v>
      </c>
      <c r="E589" s="166"/>
      <c r="F589" s="166"/>
      <c r="G589" s="55" t="s">
        <v>1632</v>
      </c>
      <c r="H589" s="64">
        <v>128.57454999999999</v>
      </c>
      <c r="I589" s="64">
        <v>642</v>
      </c>
      <c r="J589" s="64">
        <f>H589*AO589</f>
        <v>0</v>
      </c>
      <c r="K589" s="64">
        <f>H589*AP589</f>
        <v>82544.861099999995</v>
      </c>
      <c r="L589" s="64">
        <f>H589*I589</f>
        <v>82544.861099999995</v>
      </c>
      <c r="M589" s="73" t="s">
        <v>1657</v>
      </c>
      <c r="N589" s="19"/>
      <c r="Z589" s="35">
        <f>IF(AQ589="5",BJ589,0)</f>
        <v>0</v>
      </c>
      <c r="AB589" s="35">
        <f>IF(AQ589="1",BH589,0)</f>
        <v>0</v>
      </c>
      <c r="AC589" s="35">
        <f>IF(AQ589="1",BI589,0)</f>
        <v>0</v>
      </c>
      <c r="AD589" s="35">
        <f>IF(AQ589="7",BH589,0)</f>
        <v>0</v>
      </c>
      <c r="AE589" s="35">
        <f>IF(AQ589="7",BI589,0)</f>
        <v>82544.861099999995</v>
      </c>
      <c r="AF589" s="35">
        <f>IF(AQ589="2",BH589,0)</f>
        <v>0</v>
      </c>
      <c r="AG589" s="35">
        <f>IF(AQ589="2",BI589,0)</f>
        <v>0</v>
      </c>
      <c r="AH589" s="35">
        <f>IF(AQ589="0",BJ589,0)</f>
        <v>0</v>
      </c>
      <c r="AI589" s="77" t="s">
        <v>70</v>
      </c>
      <c r="AJ589" s="64">
        <f>IF(AN589=0,L589,0)</f>
        <v>0</v>
      </c>
      <c r="AK589" s="64">
        <f>IF(AN589=15,L589,0)</f>
        <v>0</v>
      </c>
      <c r="AL589" s="64">
        <f>IF(AN589=21,L589,0)</f>
        <v>82544.861099999995</v>
      </c>
      <c r="AN589" s="35">
        <v>21</v>
      </c>
      <c r="AO589" s="35">
        <f>I589*0</f>
        <v>0</v>
      </c>
      <c r="AP589" s="35">
        <f>I589*(1-0)</f>
        <v>642</v>
      </c>
      <c r="AQ589" s="78" t="s">
        <v>235</v>
      </c>
      <c r="AV589" s="35">
        <f>AW589+AX589</f>
        <v>82544.861099999995</v>
      </c>
      <c r="AW589" s="35">
        <f>H589*AO589</f>
        <v>0</v>
      </c>
      <c r="AX589" s="35">
        <f>H589*AP589</f>
        <v>82544.861099999995</v>
      </c>
      <c r="AY589" s="80" t="s">
        <v>1674</v>
      </c>
      <c r="AZ589" s="80" t="s">
        <v>1758</v>
      </c>
      <c r="BA589" s="77" t="s">
        <v>1783</v>
      </c>
      <c r="BC589" s="35">
        <f>AW589+AX589</f>
        <v>82544.861099999995</v>
      </c>
      <c r="BD589" s="35">
        <f>I589/(100-BE589)*100</f>
        <v>642</v>
      </c>
      <c r="BE589" s="35">
        <v>0</v>
      </c>
      <c r="BF589" s="35">
        <f>589</f>
        <v>589</v>
      </c>
      <c r="BH589" s="64">
        <f>H589*AO589</f>
        <v>0</v>
      </c>
      <c r="BI589" s="64">
        <f>H589*AP589</f>
        <v>82544.861099999995</v>
      </c>
      <c r="BJ589" s="64">
        <f>H589*I589</f>
        <v>82544.861099999995</v>
      </c>
      <c r="BK589" s="64" t="s">
        <v>1790</v>
      </c>
      <c r="BL589" s="35">
        <v>764</v>
      </c>
    </row>
    <row r="590" spans="1:64">
      <c r="A590" s="19"/>
      <c r="C590" s="59" t="s">
        <v>730</v>
      </c>
      <c r="D590" s="167" t="s">
        <v>1517</v>
      </c>
      <c r="E590" s="168"/>
      <c r="F590" s="168"/>
      <c r="G590" s="168"/>
      <c r="H590" s="168"/>
      <c r="I590" s="168"/>
      <c r="J590" s="168"/>
      <c r="K590" s="168"/>
      <c r="L590" s="168"/>
      <c r="M590" s="169"/>
      <c r="N590" s="19"/>
    </row>
    <row r="591" spans="1:64">
      <c r="A591" s="48" t="s">
        <v>592</v>
      </c>
      <c r="B591" s="56" t="s">
        <v>70</v>
      </c>
      <c r="C591" s="56" t="s">
        <v>1020</v>
      </c>
      <c r="D591" s="170" t="s">
        <v>1518</v>
      </c>
      <c r="E591" s="171"/>
      <c r="F591" s="171"/>
      <c r="G591" s="56" t="s">
        <v>1631</v>
      </c>
      <c r="H591" s="65">
        <v>64.287279999999996</v>
      </c>
      <c r="I591" s="65">
        <v>538</v>
      </c>
      <c r="J591" s="65">
        <f>H591*AO591</f>
        <v>34586.556639999995</v>
      </c>
      <c r="K591" s="65">
        <f>H591*AP591</f>
        <v>0</v>
      </c>
      <c r="L591" s="65">
        <f>H591*I591</f>
        <v>34586.556639999995</v>
      </c>
      <c r="M591" s="74" t="s">
        <v>1657</v>
      </c>
      <c r="N591" s="19"/>
      <c r="Z591" s="35">
        <f>IF(AQ591="5",BJ591,0)</f>
        <v>0</v>
      </c>
      <c r="AB591" s="35">
        <f>IF(AQ591="1",BH591,0)</f>
        <v>0</v>
      </c>
      <c r="AC591" s="35">
        <f>IF(AQ591="1",BI591,0)</f>
        <v>0</v>
      </c>
      <c r="AD591" s="35">
        <f>IF(AQ591="7",BH591,0)</f>
        <v>34586.556639999995</v>
      </c>
      <c r="AE591" s="35">
        <f>IF(AQ591="7",BI591,0)</f>
        <v>0</v>
      </c>
      <c r="AF591" s="35">
        <f>IF(AQ591="2",BH591,0)</f>
        <v>0</v>
      </c>
      <c r="AG591" s="35">
        <f>IF(AQ591="2",BI591,0)</f>
        <v>0</v>
      </c>
      <c r="AH591" s="35">
        <f>IF(AQ591="0",BJ591,0)</f>
        <v>0</v>
      </c>
      <c r="AI591" s="77" t="s">
        <v>70</v>
      </c>
      <c r="AJ591" s="65">
        <f>IF(AN591=0,L591,0)</f>
        <v>0</v>
      </c>
      <c r="AK591" s="65">
        <f>IF(AN591=15,L591,0)</f>
        <v>0</v>
      </c>
      <c r="AL591" s="65">
        <f>IF(AN591=21,L591,0)</f>
        <v>34586.556639999995</v>
      </c>
      <c r="AN591" s="35">
        <v>21</v>
      </c>
      <c r="AO591" s="35">
        <f>I591*1</f>
        <v>538</v>
      </c>
      <c r="AP591" s="35">
        <f>I591*(1-1)</f>
        <v>0</v>
      </c>
      <c r="AQ591" s="79" t="s">
        <v>235</v>
      </c>
      <c r="AV591" s="35">
        <f>AW591+AX591</f>
        <v>34586.556639999995</v>
      </c>
      <c r="AW591" s="35">
        <f>H591*AO591</f>
        <v>34586.556639999995</v>
      </c>
      <c r="AX591" s="35">
        <f>H591*AP591</f>
        <v>0</v>
      </c>
      <c r="AY591" s="80" t="s">
        <v>1674</v>
      </c>
      <c r="AZ591" s="80" t="s">
        <v>1758</v>
      </c>
      <c r="BA591" s="77" t="s">
        <v>1783</v>
      </c>
      <c r="BC591" s="35">
        <f>AW591+AX591</f>
        <v>34586.556639999995</v>
      </c>
      <c r="BD591" s="35">
        <f>I591/(100-BE591)*100</f>
        <v>538</v>
      </c>
      <c r="BE591" s="35">
        <v>0</v>
      </c>
      <c r="BF591" s="35">
        <f>591</f>
        <v>591</v>
      </c>
      <c r="BH591" s="65">
        <f>H591*AO591</f>
        <v>34586.556639999995</v>
      </c>
      <c r="BI591" s="65">
        <f>H591*AP591</f>
        <v>0</v>
      </c>
      <c r="BJ591" s="65">
        <f>H591*I591</f>
        <v>34586.556639999995</v>
      </c>
      <c r="BK591" s="65" t="s">
        <v>1642</v>
      </c>
      <c r="BL591" s="35">
        <v>764</v>
      </c>
    </row>
    <row r="592" spans="1:64">
      <c r="A592" s="47" t="s">
        <v>593</v>
      </c>
      <c r="B592" s="55" t="s">
        <v>70</v>
      </c>
      <c r="C592" s="55" t="s">
        <v>1021</v>
      </c>
      <c r="D592" s="165" t="s">
        <v>1519</v>
      </c>
      <c r="E592" s="166"/>
      <c r="F592" s="166"/>
      <c r="G592" s="55" t="s">
        <v>1632</v>
      </c>
      <c r="H592" s="64">
        <v>128.57454999999999</v>
      </c>
      <c r="I592" s="64">
        <v>38</v>
      </c>
      <c r="J592" s="64">
        <f>H592*AO592</f>
        <v>0</v>
      </c>
      <c r="K592" s="64">
        <f>H592*AP592</f>
        <v>4885.8328999999994</v>
      </c>
      <c r="L592" s="64">
        <f>H592*I592</f>
        <v>4885.8328999999994</v>
      </c>
      <c r="M592" s="73" t="s">
        <v>1657</v>
      </c>
      <c r="N592" s="19"/>
      <c r="Z592" s="35">
        <f>IF(AQ592="5",BJ592,0)</f>
        <v>0</v>
      </c>
      <c r="AB592" s="35">
        <f>IF(AQ592="1",BH592,0)</f>
        <v>0</v>
      </c>
      <c r="AC592" s="35">
        <f>IF(AQ592="1",BI592,0)</f>
        <v>0</v>
      </c>
      <c r="AD592" s="35">
        <f>IF(AQ592="7",BH592,0)</f>
        <v>0</v>
      </c>
      <c r="AE592" s="35">
        <f>IF(AQ592="7",BI592,0)</f>
        <v>4885.8328999999994</v>
      </c>
      <c r="AF592" s="35">
        <f>IF(AQ592="2",BH592,0)</f>
        <v>0</v>
      </c>
      <c r="AG592" s="35">
        <f>IF(AQ592="2",BI592,0)</f>
        <v>0</v>
      </c>
      <c r="AH592" s="35">
        <f>IF(AQ592="0",BJ592,0)</f>
        <v>0</v>
      </c>
      <c r="AI592" s="77" t="s">
        <v>70</v>
      </c>
      <c r="AJ592" s="64">
        <f>IF(AN592=0,L592,0)</f>
        <v>0</v>
      </c>
      <c r="AK592" s="64">
        <f>IF(AN592=15,L592,0)</f>
        <v>0</v>
      </c>
      <c r="AL592" s="64">
        <f>IF(AN592=21,L592,0)</f>
        <v>4885.8328999999994</v>
      </c>
      <c r="AN592" s="35">
        <v>21</v>
      </c>
      <c r="AO592" s="35">
        <f>I592*0</f>
        <v>0</v>
      </c>
      <c r="AP592" s="35">
        <f>I592*(1-0)</f>
        <v>38</v>
      </c>
      <c r="AQ592" s="78" t="s">
        <v>235</v>
      </c>
      <c r="AV592" s="35">
        <f>AW592+AX592</f>
        <v>4885.8328999999994</v>
      </c>
      <c r="AW592" s="35">
        <f>H592*AO592</f>
        <v>0</v>
      </c>
      <c r="AX592" s="35">
        <f>H592*AP592</f>
        <v>4885.8328999999994</v>
      </c>
      <c r="AY592" s="80" t="s">
        <v>1674</v>
      </c>
      <c r="AZ592" s="80" t="s">
        <v>1758</v>
      </c>
      <c r="BA592" s="77" t="s">
        <v>1783</v>
      </c>
      <c r="BC592" s="35">
        <f>AW592+AX592</f>
        <v>4885.8328999999994</v>
      </c>
      <c r="BD592" s="35">
        <f>I592/(100-BE592)*100</f>
        <v>38</v>
      </c>
      <c r="BE592" s="35">
        <v>0</v>
      </c>
      <c r="BF592" s="35">
        <f>592</f>
        <v>592</v>
      </c>
      <c r="BH592" s="64">
        <f>H592*AO592</f>
        <v>0</v>
      </c>
      <c r="BI592" s="64">
        <f>H592*AP592</f>
        <v>4885.8328999999994</v>
      </c>
      <c r="BJ592" s="64">
        <f>H592*I592</f>
        <v>4885.8328999999994</v>
      </c>
      <c r="BK592" s="64" t="s">
        <v>1790</v>
      </c>
      <c r="BL592" s="35">
        <v>764</v>
      </c>
    </row>
    <row r="593" spans="1:64">
      <c r="A593" s="47" t="s">
        <v>594</v>
      </c>
      <c r="B593" s="55" t="s">
        <v>70</v>
      </c>
      <c r="C593" s="55" t="s">
        <v>767</v>
      </c>
      <c r="D593" s="165" t="s">
        <v>1520</v>
      </c>
      <c r="E593" s="166"/>
      <c r="F593" s="166"/>
      <c r="G593" s="55" t="s">
        <v>1632</v>
      </c>
      <c r="H593" s="64">
        <v>1157.1709499999999</v>
      </c>
      <c r="I593" s="64">
        <v>57</v>
      </c>
      <c r="J593" s="64">
        <f>H593*AO593</f>
        <v>0</v>
      </c>
      <c r="K593" s="64">
        <f>H593*AP593</f>
        <v>65958.744149999999</v>
      </c>
      <c r="L593" s="64">
        <f>H593*I593</f>
        <v>65958.744149999999</v>
      </c>
      <c r="M593" s="73" t="s">
        <v>1658</v>
      </c>
      <c r="N593" s="19"/>
      <c r="Z593" s="35">
        <f>IF(AQ593="5",BJ593,0)</f>
        <v>0</v>
      </c>
      <c r="AB593" s="35">
        <f>IF(AQ593="1",BH593,0)</f>
        <v>0</v>
      </c>
      <c r="AC593" s="35">
        <f>IF(AQ593="1",BI593,0)</f>
        <v>0</v>
      </c>
      <c r="AD593" s="35">
        <f>IF(AQ593="7",BH593,0)</f>
        <v>0</v>
      </c>
      <c r="AE593" s="35">
        <f>IF(AQ593="7",BI593,0)</f>
        <v>65958.744149999999</v>
      </c>
      <c r="AF593" s="35">
        <f>IF(AQ593="2",BH593,0)</f>
        <v>0</v>
      </c>
      <c r="AG593" s="35">
        <f>IF(AQ593="2",BI593,0)</f>
        <v>0</v>
      </c>
      <c r="AH593" s="35">
        <f>IF(AQ593="0",BJ593,0)</f>
        <v>0</v>
      </c>
      <c r="AI593" s="77" t="s">
        <v>70</v>
      </c>
      <c r="AJ593" s="64">
        <f>IF(AN593=0,L593,0)</f>
        <v>0</v>
      </c>
      <c r="AK593" s="64">
        <f>IF(AN593=15,L593,0)</f>
        <v>0</v>
      </c>
      <c r="AL593" s="64">
        <f>IF(AN593=21,L593,0)</f>
        <v>65958.744149999999</v>
      </c>
      <c r="AN593" s="35">
        <v>21</v>
      </c>
      <c r="AO593" s="35">
        <f>I593*0</f>
        <v>0</v>
      </c>
      <c r="AP593" s="35">
        <f>I593*(1-0)</f>
        <v>57</v>
      </c>
      <c r="AQ593" s="78" t="s">
        <v>235</v>
      </c>
      <c r="AV593" s="35">
        <f>AW593+AX593</f>
        <v>65958.744149999999</v>
      </c>
      <c r="AW593" s="35">
        <f>H593*AO593</f>
        <v>0</v>
      </c>
      <c r="AX593" s="35">
        <f>H593*AP593</f>
        <v>65958.744149999999</v>
      </c>
      <c r="AY593" s="80" t="s">
        <v>1674</v>
      </c>
      <c r="AZ593" s="80" t="s">
        <v>1758</v>
      </c>
      <c r="BA593" s="77" t="s">
        <v>1783</v>
      </c>
      <c r="BC593" s="35">
        <f>AW593+AX593</f>
        <v>65958.744149999999</v>
      </c>
      <c r="BD593" s="35">
        <f>I593/(100-BE593)*100</f>
        <v>56.999999999999993</v>
      </c>
      <c r="BE593" s="35">
        <v>0</v>
      </c>
      <c r="BF593" s="35">
        <f>593</f>
        <v>593</v>
      </c>
      <c r="BH593" s="64">
        <f>H593*AO593</f>
        <v>0</v>
      </c>
      <c r="BI593" s="64">
        <f>H593*AP593</f>
        <v>65958.744149999999</v>
      </c>
      <c r="BJ593" s="64">
        <f>H593*I593</f>
        <v>65958.744149999999</v>
      </c>
      <c r="BK593" s="64" t="s">
        <v>1790</v>
      </c>
      <c r="BL593" s="35">
        <v>764</v>
      </c>
    </row>
    <row r="594" spans="1:64">
      <c r="A594" s="19"/>
      <c r="C594" s="59" t="s">
        <v>730</v>
      </c>
      <c r="D594" s="167" t="s">
        <v>1517</v>
      </c>
      <c r="E594" s="168"/>
      <c r="F594" s="168"/>
      <c r="G594" s="168"/>
      <c r="H594" s="168"/>
      <c r="I594" s="168"/>
      <c r="J594" s="168"/>
      <c r="K594" s="168"/>
      <c r="L594" s="168"/>
      <c r="M594" s="169"/>
      <c r="N594" s="19"/>
    </row>
    <row r="595" spans="1:64">
      <c r="A595" s="47" t="s">
        <v>595</v>
      </c>
      <c r="B595" s="55" t="s">
        <v>70</v>
      </c>
      <c r="C595" s="55" t="s">
        <v>757</v>
      </c>
      <c r="D595" s="165" t="s">
        <v>1157</v>
      </c>
      <c r="E595" s="166"/>
      <c r="F595" s="166"/>
      <c r="G595" s="55" t="s">
        <v>1634</v>
      </c>
      <c r="H595" s="64">
        <v>1.7550399999999999</v>
      </c>
      <c r="I595" s="64">
        <v>1397</v>
      </c>
      <c r="J595" s="64">
        <f>H595*AO595</f>
        <v>0</v>
      </c>
      <c r="K595" s="64">
        <f>H595*AP595</f>
        <v>2451.79088</v>
      </c>
      <c r="L595" s="64">
        <f>H595*I595</f>
        <v>2451.79088</v>
      </c>
      <c r="M595" s="73" t="s">
        <v>1657</v>
      </c>
      <c r="N595" s="19"/>
      <c r="Z595" s="35">
        <f>IF(AQ595="5",BJ595,0)</f>
        <v>2451.79088</v>
      </c>
      <c r="AB595" s="35">
        <f>IF(AQ595="1",BH595,0)</f>
        <v>0</v>
      </c>
      <c r="AC595" s="35">
        <f>IF(AQ595="1",BI595,0)</f>
        <v>0</v>
      </c>
      <c r="AD595" s="35">
        <f>IF(AQ595="7",BH595,0)</f>
        <v>0</v>
      </c>
      <c r="AE595" s="35">
        <f>IF(AQ595="7",BI595,0)</f>
        <v>0</v>
      </c>
      <c r="AF595" s="35">
        <f>IF(AQ595="2",BH595,0)</f>
        <v>0</v>
      </c>
      <c r="AG595" s="35">
        <f>IF(AQ595="2",BI595,0)</f>
        <v>0</v>
      </c>
      <c r="AH595" s="35">
        <f>IF(AQ595="0",BJ595,0)</f>
        <v>0</v>
      </c>
      <c r="AI595" s="77" t="s">
        <v>70</v>
      </c>
      <c r="AJ595" s="64">
        <f>IF(AN595=0,L595,0)</f>
        <v>0</v>
      </c>
      <c r="AK595" s="64">
        <f>IF(AN595=15,L595,0)</f>
        <v>0</v>
      </c>
      <c r="AL595" s="64">
        <f>IF(AN595=21,L595,0)</f>
        <v>2451.79088</v>
      </c>
      <c r="AN595" s="35">
        <v>21</v>
      </c>
      <c r="AO595" s="35">
        <f>I595*0</f>
        <v>0</v>
      </c>
      <c r="AP595" s="35">
        <f>I595*(1-0)</f>
        <v>1397</v>
      </c>
      <c r="AQ595" s="78" t="s">
        <v>112</v>
      </c>
      <c r="AV595" s="35">
        <f>AW595+AX595</f>
        <v>2451.79088</v>
      </c>
      <c r="AW595" s="35">
        <f>H595*AO595</f>
        <v>0</v>
      </c>
      <c r="AX595" s="35">
        <f>H595*AP595</f>
        <v>2451.79088</v>
      </c>
      <c r="AY595" s="80" t="s">
        <v>1674</v>
      </c>
      <c r="AZ595" s="80" t="s">
        <v>1758</v>
      </c>
      <c r="BA595" s="77" t="s">
        <v>1783</v>
      </c>
      <c r="BC595" s="35">
        <f>AW595+AX595</f>
        <v>2451.79088</v>
      </c>
      <c r="BD595" s="35">
        <f>I595/(100-BE595)*100</f>
        <v>1397</v>
      </c>
      <c r="BE595" s="35">
        <v>0</v>
      </c>
      <c r="BF595" s="35">
        <f>595</f>
        <v>595</v>
      </c>
      <c r="BH595" s="64">
        <f>H595*AO595</f>
        <v>0</v>
      </c>
      <c r="BI595" s="64">
        <f>H595*AP595</f>
        <v>2451.79088</v>
      </c>
      <c r="BJ595" s="64">
        <f>H595*I595</f>
        <v>2451.79088</v>
      </c>
      <c r="BK595" s="64" t="s">
        <v>1790</v>
      </c>
      <c r="BL595" s="35">
        <v>764</v>
      </c>
    </row>
    <row r="596" spans="1:64">
      <c r="A596" s="46"/>
      <c r="B596" s="54" t="s">
        <v>70</v>
      </c>
      <c r="C596" s="54" t="s">
        <v>138</v>
      </c>
      <c r="D596" s="163" t="s">
        <v>189</v>
      </c>
      <c r="E596" s="164"/>
      <c r="F596" s="164"/>
      <c r="G596" s="61" t="s">
        <v>57</v>
      </c>
      <c r="H596" s="61" t="s">
        <v>57</v>
      </c>
      <c r="I596" s="61" t="s">
        <v>57</v>
      </c>
      <c r="J596" s="83">
        <f>SUM(J597:J603)</f>
        <v>0</v>
      </c>
      <c r="K596" s="83">
        <f>SUM(K597:K603)</f>
        <v>255021.94900000002</v>
      </c>
      <c r="L596" s="83">
        <f>SUM(L597:L603)</f>
        <v>255021.94900000002</v>
      </c>
      <c r="M596" s="72"/>
      <c r="N596" s="19"/>
      <c r="AI596" s="77" t="s">
        <v>70</v>
      </c>
      <c r="AS596" s="83">
        <f>SUM(AJ597:AJ603)</f>
        <v>0</v>
      </c>
      <c r="AT596" s="83">
        <f>SUM(AK597:AK603)</f>
        <v>0</v>
      </c>
      <c r="AU596" s="83">
        <f>SUM(AL597:AL603)</f>
        <v>255021.94900000002</v>
      </c>
    </row>
    <row r="597" spans="1:64">
      <c r="A597" s="47" t="s">
        <v>596</v>
      </c>
      <c r="B597" s="55" t="s">
        <v>70</v>
      </c>
      <c r="C597" s="55" t="s">
        <v>1022</v>
      </c>
      <c r="D597" s="165" t="s">
        <v>1521</v>
      </c>
      <c r="E597" s="166"/>
      <c r="F597" s="166"/>
      <c r="G597" s="55" t="s">
        <v>1632</v>
      </c>
      <c r="H597" s="64">
        <v>1285.7455</v>
      </c>
      <c r="I597" s="64">
        <v>126</v>
      </c>
      <c r="J597" s="64">
        <f>H597*AO597</f>
        <v>0</v>
      </c>
      <c r="K597" s="64">
        <f>H597*AP597</f>
        <v>162003.93299999999</v>
      </c>
      <c r="L597" s="64">
        <f>H597*I597</f>
        <v>162003.93299999999</v>
      </c>
      <c r="M597" s="73" t="s">
        <v>1657</v>
      </c>
      <c r="N597" s="19"/>
      <c r="Z597" s="35">
        <f>IF(AQ597="5",BJ597,0)</f>
        <v>0</v>
      </c>
      <c r="AB597" s="35">
        <f>IF(AQ597="1",BH597,0)</f>
        <v>0</v>
      </c>
      <c r="AC597" s="35">
        <f>IF(AQ597="1",BI597,0)</f>
        <v>0</v>
      </c>
      <c r="AD597" s="35">
        <f>IF(AQ597="7",BH597,0)</f>
        <v>0</v>
      </c>
      <c r="AE597" s="35">
        <f>IF(AQ597="7",BI597,0)</f>
        <v>162003.93299999999</v>
      </c>
      <c r="AF597" s="35">
        <f>IF(AQ597="2",BH597,0)</f>
        <v>0</v>
      </c>
      <c r="AG597" s="35">
        <f>IF(AQ597="2",BI597,0)</f>
        <v>0</v>
      </c>
      <c r="AH597" s="35">
        <f>IF(AQ597="0",BJ597,0)</f>
        <v>0</v>
      </c>
      <c r="AI597" s="77" t="s">
        <v>70</v>
      </c>
      <c r="AJ597" s="64">
        <f>IF(AN597=0,L597,0)</f>
        <v>0</v>
      </c>
      <c r="AK597" s="64">
        <f>IF(AN597=15,L597,0)</f>
        <v>0</v>
      </c>
      <c r="AL597" s="64">
        <f>IF(AN597=21,L597,0)</f>
        <v>162003.93299999999</v>
      </c>
      <c r="AN597" s="35">
        <v>21</v>
      </c>
      <c r="AO597" s="35">
        <f>I597*0</f>
        <v>0</v>
      </c>
      <c r="AP597" s="35">
        <f>I597*(1-0)</f>
        <v>126</v>
      </c>
      <c r="AQ597" s="78" t="s">
        <v>235</v>
      </c>
      <c r="AV597" s="35">
        <f>AW597+AX597</f>
        <v>162003.93299999999</v>
      </c>
      <c r="AW597" s="35">
        <f>H597*AO597</f>
        <v>0</v>
      </c>
      <c r="AX597" s="35">
        <f>H597*AP597</f>
        <v>162003.93299999999</v>
      </c>
      <c r="AY597" s="80" t="s">
        <v>1677</v>
      </c>
      <c r="AZ597" s="80" t="s">
        <v>1759</v>
      </c>
      <c r="BA597" s="77" t="s">
        <v>1783</v>
      </c>
      <c r="BC597" s="35">
        <f>AW597+AX597</f>
        <v>162003.93299999999</v>
      </c>
      <c r="BD597" s="35">
        <f>I597/(100-BE597)*100</f>
        <v>126</v>
      </c>
      <c r="BE597" s="35">
        <v>0</v>
      </c>
      <c r="BF597" s="35">
        <f>597</f>
        <v>597</v>
      </c>
      <c r="BH597" s="64">
        <f>H597*AO597</f>
        <v>0</v>
      </c>
      <c r="BI597" s="64">
        <f>H597*AP597</f>
        <v>162003.93299999999</v>
      </c>
      <c r="BJ597" s="64">
        <f>H597*I597</f>
        <v>162003.93299999999</v>
      </c>
      <c r="BK597" s="64" t="s">
        <v>1790</v>
      </c>
      <c r="BL597" s="35">
        <v>783</v>
      </c>
    </row>
    <row r="598" spans="1:64">
      <c r="A598" s="19"/>
      <c r="C598" s="59" t="s">
        <v>730</v>
      </c>
      <c r="D598" s="167" t="s">
        <v>1522</v>
      </c>
      <c r="E598" s="168"/>
      <c r="F598" s="168"/>
      <c r="G598" s="168"/>
      <c r="H598" s="168"/>
      <c r="I598" s="168"/>
      <c r="J598" s="168"/>
      <c r="K598" s="168"/>
      <c r="L598" s="168"/>
      <c r="M598" s="169"/>
      <c r="N598" s="19"/>
    </row>
    <row r="599" spans="1:64">
      <c r="A599" s="47" t="s">
        <v>597</v>
      </c>
      <c r="B599" s="55" t="s">
        <v>70</v>
      </c>
      <c r="C599" s="55" t="s">
        <v>1023</v>
      </c>
      <c r="D599" s="165" t="s">
        <v>1523</v>
      </c>
      <c r="E599" s="166"/>
      <c r="F599" s="166"/>
      <c r="G599" s="55" t="s">
        <v>1632</v>
      </c>
      <c r="H599" s="64">
        <v>249.39500000000001</v>
      </c>
      <c r="I599" s="64">
        <v>28</v>
      </c>
      <c r="J599" s="64">
        <f>H599*AO599</f>
        <v>0</v>
      </c>
      <c r="K599" s="64">
        <f>H599*AP599</f>
        <v>6983.06</v>
      </c>
      <c r="L599" s="64">
        <f>H599*I599</f>
        <v>6983.06</v>
      </c>
      <c r="M599" s="73" t="s">
        <v>1657</v>
      </c>
      <c r="N599" s="19"/>
      <c r="Z599" s="35">
        <f>IF(AQ599="5",BJ599,0)</f>
        <v>0</v>
      </c>
      <c r="AB599" s="35">
        <f>IF(AQ599="1",BH599,0)</f>
        <v>0</v>
      </c>
      <c r="AC599" s="35">
        <f>IF(AQ599="1",BI599,0)</f>
        <v>0</v>
      </c>
      <c r="AD599" s="35">
        <f>IF(AQ599="7",BH599,0)</f>
        <v>0</v>
      </c>
      <c r="AE599" s="35">
        <f>IF(AQ599="7",BI599,0)</f>
        <v>6983.06</v>
      </c>
      <c r="AF599" s="35">
        <f>IF(AQ599="2",BH599,0)</f>
        <v>0</v>
      </c>
      <c r="AG599" s="35">
        <f>IF(AQ599="2",BI599,0)</f>
        <v>0</v>
      </c>
      <c r="AH599" s="35">
        <f>IF(AQ599="0",BJ599,0)</f>
        <v>0</v>
      </c>
      <c r="AI599" s="77" t="s">
        <v>70</v>
      </c>
      <c r="AJ599" s="64">
        <f>IF(AN599=0,L599,0)</f>
        <v>0</v>
      </c>
      <c r="AK599" s="64">
        <f>IF(AN599=15,L599,0)</f>
        <v>0</v>
      </c>
      <c r="AL599" s="64">
        <f>IF(AN599=21,L599,0)</f>
        <v>6983.06</v>
      </c>
      <c r="AN599" s="35">
        <v>21</v>
      </c>
      <c r="AO599" s="35">
        <f>I599*0</f>
        <v>0</v>
      </c>
      <c r="AP599" s="35">
        <f>I599*(1-0)</f>
        <v>28</v>
      </c>
      <c r="AQ599" s="78" t="s">
        <v>235</v>
      </c>
      <c r="AV599" s="35">
        <f>AW599+AX599</f>
        <v>6983.06</v>
      </c>
      <c r="AW599" s="35">
        <f>H599*AO599</f>
        <v>0</v>
      </c>
      <c r="AX599" s="35">
        <f>H599*AP599</f>
        <v>6983.06</v>
      </c>
      <c r="AY599" s="80" t="s">
        <v>1677</v>
      </c>
      <c r="AZ599" s="80" t="s">
        <v>1759</v>
      </c>
      <c r="BA599" s="77" t="s">
        <v>1783</v>
      </c>
      <c r="BC599" s="35">
        <f>AW599+AX599</f>
        <v>6983.06</v>
      </c>
      <c r="BD599" s="35">
        <f>I599/(100-BE599)*100</f>
        <v>28.000000000000004</v>
      </c>
      <c r="BE599" s="35">
        <v>0</v>
      </c>
      <c r="BF599" s="35">
        <f>599</f>
        <v>599</v>
      </c>
      <c r="BH599" s="64">
        <f>H599*AO599</f>
        <v>0</v>
      </c>
      <c r="BI599" s="64">
        <f>H599*AP599</f>
        <v>6983.06</v>
      </c>
      <c r="BJ599" s="64">
        <f>H599*I599</f>
        <v>6983.06</v>
      </c>
      <c r="BK599" s="64" t="s">
        <v>1790</v>
      </c>
      <c r="BL599" s="35">
        <v>783</v>
      </c>
    </row>
    <row r="600" spans="1:64">
      <c r="A600" s="47" t="s">
        <v>598</v>
      </c>
      <c r="B600" s="55" t="s">
        <v>70</v>
      </c>
      <c r="C600" s="55" t="s">
        <v>1024</v>
      </c>
      <c r="D600" s="165" t="s">
        <v>1524</v>
      </c>
      <c r="E600" s="166"/>
      <c r="F600" s="166"/>
      <c r="G600" s="55" t="s">
        <v>1632</v>
      </c>
      <c r="H600" s="64">
        <v>249.39500000000001</v>
      </c>
      <c r="I600" s="64">
        <v>180</v>
      </c>
      <c r="J600" s="64">
        <f>H600*AO600</f>
        <v>0</v>
      </c>
      <c r="K600" s="64">
        <f>H600*AP600</f>
        <v>44891.1</v>
      </c>
      <c r="L600" s="64">
        <f>H600*I600</f>
        <v>44891.1</v>
      </c>
      <c r="M600" s="73" t="s">
        <v>1657</v>
      </c>
      <c r="N600" s="19"/>
      <c r="Z600" s="35">
        <f>IF(AQ600="5",BJ600,0)</f>
        <v>0</v>
      </c>
      <c r="AB600" s="35">
        <f>IF(AQ600="1",BH600,0)</f>
        <v>0</v>
      </c>
      <c r="AC600" s="35">
        <f>IF(AQ600="1",BI600,0)</f>
        <v>0</v>
      </c>
      <c r="AD600" s="35">
        <f>IF(AQ600="7",BH600,0)</f>
        <v>0</v>
      </c>
      <c r="AE600" s="35">
        <f>IF(AQ600="7",BI600,0)</f>
        <v>44891.1</v>
      </c>
      <c r="AF600" s="35">
        <f>IF(AQ600="2",BH600,0)</f>
        <v>0</v>
      </c>
      <c r="AG600" s="35">
        <f>IF(AQ600="2",BI600,0)</f>
        <v>0</v>
      </c>
      <c r="AH600" s="35">
        <f>IF(AQ600="0",BJ600,0)</f>
        <v>0</v>
      </c>
      <c r="AI600" s="77" t="s">
        <v>70</v>
      </c>
      <c r="AJ600" s="64">
        <f>IF(AN600=0,L600,0)</f>
        <v>0</v>
      </c>
      <c r="AK600" s="64">
        <f>IF(AN600=15,L600,0)</f>
        <v>0</v>
      </c>
      <c r="AL600" s="64">
        <f>IF(AN600=21,L600,0)</f>
        <v>44891.1</v>
      </c>
      <c r="AN600" s="35">
        <v>21</v>
      </c>
      <c r="AO600" s="35">
        <f>I600*0</f>
        <v>0</v>
      </c>
      <c r="AP600" s="35">
        <f>I600*(1-0)</f>
        <v>180</v>
      </c>
      <c r="AQ600" s="78" t="s">
        <v>235</v>
      </c>
      <c r="AV600" s="35">
        <f>AW600+AX600</f>
        <v>44891.1</v>
      </c>
      <c r="AW600" s="35">
        <f>H600*AO600</f>
        <v>0</v>
      </c>
      <c r="AX600" s="35">
        <f>H600*AP600</f>
        <v>44891.1</v>
      </c>
      <c r="AY600" s="80" t="s">
        <v>1677</v>
      </c>
      <c r="AZ600" s="80" t="s">
        <v>1759</v>
      </c>
      <c r="BA600" s="77" t="s">
        <v>1783</v>
      </c>
      <c r="BC600" s="35">
        <f>AW600+AX600</f>
        <v>44891.1</v>
      </c>
      <c r="BD600" s="35">
        <f>I600/(100-BE600)*100</f>
        <v>180</v>
      </c>
      <c r="BE600" s="35">
        <v>0</v>
      </c>
      <c r="BF600" s="35">
        <f>600</f>
        <v>600</v>
      </c>
      <c r="BH600" s="64">
        <f>H600*AO600</f>
        <v>0</v>
      </c>
      <c r="BI600" s="64">
        <f>H600*AP600</f>
        <v>44891.1</v>
      </c>
      <c r="BJ600" s="64">
        <f>H600*I600</f>
        <v>44891.1</v>
      </c>
      <c r="BK600" s="64" t="s">
        <v>1790</v>
      </c>
      <c r="BL600" s="35">
        <v>783</v>
      </c>
    </row>
    <row r="601" spans="1:64">
      <c r="A601" s="19"/>
      <c r="C601" s="59" t="s">
        <v>730</v>
      </c>
      <c r="D601" s="167" t="s">
        <v>1525</v>
      </c>
      <c r="E601" s="168"/>
      <c r="F601" s="168"/>
      <c r="G601" s="168"/>
      <c r="H601" s="168"/>
      <c r="I601" s="168"/>
      <c r="J601" s="168"/>
      <c r="K601" s="168"/>
      <c r="L601" s="168"/>
      <c r="M601" s="169"/>
      <c r="N601" s="19"/>
    </row>
    <row r="602" spans="1:64">
      <c r="A602" s="47" t="s">
        <v>599</v>
      </c>
      <c r="B602" s="55" t="s">
        <v>70</v>
      </c>
      <c r="C602" s="55" t="s">
        <v>1025</v>
      </c>
      <c r="D602" s="165" t="s">
        <v>1526</v>
      </c>
      <c r="E602" s="166"/>
      <c r="F602" s="166"/>
      <c r="G602" s="55" t="s">
        <v>1632</v>
      </c>
      <c r="H602" s="64">
        <v>1285.7455</v>
      </c>
      <c r="I602" s="64">
        <v>19</v>
      </c>
      <c r="J602" s="64">
        <f>H602*AO602</f>
        <v>0</v>
      </c>
      <c r="K602" s="64">
        <f>H602*AP602</f>
        <v>24429.164499999999</v>
      </c>
      <c r="L602" s="64">
        <f>H602*I602</f>
        <v>24429.164499999999</v>
      </c>
      <c r="M602" s="73" t="s">
        <v>1657</v>
      </c>
      <c r="N602" s="19"/>
      <c r="Z602" s="35">
        <f>IF(AQ602="5",BJ602,0)</f>
        <v>0</v>
      </c>
      <c r="AB602" s="35">
        <f>IF(AQ602="1",BH602,0)</f>
        <v>0</v>
      </c>
      <c r="AC602" s="35">
        <f>IF(AQ602="1",BI602,0)</f>
        <v>0</v>
      </c>
      <c r="AD602" s="35">
        <f>IF(AQ602="7",BH602,0)</f>
        <v>0</v>
      </c>
      <c r="AE602" s="35">
        <f>IF(AQ602="7",BI602,0)</f>
        <v>24429.164499999999</v>
      </c>
      <c r="AF602" s="35">
        <f>IF(AQ602="2",BH602,0)</f>
        <v>0</v>
      </c>
      <c r="AG602" s="35">
        <f>IF(AQ602="2",BI602,0)</f>
        <v>0</v>
      </c>
      <c r="AH602" s="35">
        <f>IF(AQ602="0",BJ602,0)</f>
        <v>0</v>
      </c>
      <c r="AI602" s="77" t="s">
        <v>70</v>
      </c>
      <c r="AJ602" s="64">
        <f>IF(AN602=0,L602,0)</f>
        <v>0</v>
      </c>
      <c r="AK602" s="64">
        <f>IF(AN602=15,L602,0)</f>
        <v>0</v>
      </c>
      <c r="AL602" s="64">
        <f>IF(AN602=21,L602,0)</f>
        <v>24429.164499999999</v>
      </c>
      <c r="AN602" s="35">
        <v>21</v>
      </c>
      <c r="AO602" s="35">
        <f>I602*0</f>
        <v>0</v>
      </c>
      <c r="AP602" s="35">
        <f>I602*(1-0)</f>
        <v>19</v>
      </c>
      <c r="AQ602" s="78" t="s">
        <v>235</v>
      </c>
      <c r="AV602" s="35">
        <f>AW602+AX602</f>
        <v>24429.164499999999</v>
      </c>
      <c r="AW602" s="35">
        <f>H602*AO602</f>
        <v>0</v>
      </c>
      <c r="AX602" s="35">
        <f>H602*AP602</f>
        <v>24429.164499999999</v>
      </c>
      <c r="AY602" s="80" t="s">
        <v>1677</v>
      </c>
      <c r="AZ602" s="80" t="s">
        <v>1759</v>
      </c>
      <c r="BA602" s="77" t="s">
        <v>1783</v>
      </c>
      <c r="BC602" s="35">
        <f>AW602+AX602</f>
        <v>24429.164499999999</v>
      </c>
      <c r="BD602" s="35">
        <f>I602/(100-BE602)*100</f>
        <v>19</v>
      </c>
      <c r="BE602" s="35">
        <v>0</v>
      </c>
      <c r="BF602" s="35">
        <f>602</f>
        <v>602</v>
      </c>
      <c r="BH602" s="64">
        <f>H602*AO602</f>
        <v>0</v>
      </c>
      <c r="BI602" s="64">
        <f>H602*AP602</f>
        <v>24429.164499999999</v>
      </c>
      <c r="BJ602" s="64">
        <f>H602*I602</f>
        <v>24429.164499999999</v>
      </c>
      <c r="BK602" s="64" t="s">
        <v>1790</v>
      </c>
      <c r="BL602" s="35">
        <v>783</v>
      </c>
    </row>
    <row r="603" spans="1:64">
      <c r="A603" s="47" t="s">
        <v>600</v>
      </c>
      <c r="B603" s="55" t="s">
        <v>70</v>
      </c>
      <c r="C603" s="55" t="s">
        <v>1026</v>
      </c>
      <c r="D603" s="165" t="s">
        <v>1527</v>
      </c>
      <c r="E603" s="166"/>
      <c r="F603" s="166"/>
      <c r="G603" s="55" t="s">
        <v>1632</v>
      </c>
      <c r="H603" s="64">
        <v>1285.7455</v>
      </c>
      <c r="I603" s="64">
        <v>13</v>
      </c>
      <c r="J603" s="64">
        <f>H603*AO603</f>
        <v>0</v>
      </c>
      <c r="K603" s="64">
        <f>H603*AP603</f>
        <v>16714.691500000001</v>
      </c>
      <c r="L603" s="64">
        <f>H603*I603</f>
        <v>16714.691500000001</v>
      </c>
      <c r="M603" s="73" t="s">
        <v>1657</v>
      </c>
      <c r="N603" s="19"/>
      <c r="Z603" s="35">
        <f>IF(AQ603="5",BJ603,0)</f>
        <v>0</v>
      </c>
      <c r="AB603" s="35">
        <f>IF(AQ603="1",BH603,0)</f>
        <v>0</v>
      </c>
      <c r="AC603" s="35">
        <f>IF(AQ603="1",BI603,0)</f>
        <v>0</v>
      </c>
      <c r="AD603" s="35">
        <f>IF(AQ603="7",BH603,0)</f>
        <v>0</v>
      </c>
      <c r="AE603" s="35">
        <f>IF(AQ603="7",BI603,0)</f>
        <v>16714.691500000001</v>
      </c>
      <c r="AF603" s="35">
        <f>IF(AQ603="2",BH603,0)</f>
        <v>0</v>
      </c>
      <c r="AG603" s="35">
        <f>IF(AQ603="2",BI603,0)</f>
        <v>0</v>
      </c>
      <c r="AH603" s="35">
        <f>IF(AQ603="0",BJ603,0)</f>
        <v>0</v>
      </c>
      <c r="AI603" s="77" t="s">
        <v>70</v>
      </c>
      <c r="AJ603" s="64">
        <f>IF(AN603=0,L603,0)</f>
        <v>0</v>
      </c>
      <c r="AK603" s="64">
        <f>IF(AN603=15,L603,0)</f>
        <v>0</v>
      </c>
      <c r="AL603" s="64">
        <f>IF(AN603=21,L603,0)</f>
        <v>16714.691500000001</v>
      </c>
      <c r="AN603" s="35">
        <v>21</v>
      </c>
      <c r="AO603" s="35">
        <f>I603*0</f>
        <v>0</v>
      </c>
      <c r="AP603" s="35">
        <f>I603*(1-0)</f>
        <v>13</v>
      </c>
      <c r="AQ603" s="78" t="s">
        <v>235</v>
      </c>
      <c r="AV603" s="35">
        <f>AW603+AX603</f>
        <v>16714.691500000001</v>
      </c>
      <c r="AW603" s="35">
        <f>H603*AO603</f>
        <v>0</v>
      </c>
      <c r="AX603" s="35">
        <f>H603*AP603</f>
        <v>16714.691500000001</v>
      </c>
      <c r="AY603" s="80" t="s">
        <v>1677</v>
      </c>
      <c r="AZ603" s="80" t="s">
        <v>1759</v>
      </c>
      <c r="BA603" s="77" t="s">
        <v>1783</v>
      </c>
      <c r="BC603" s="35">
        <f>AW603+AX603</f>
        <v>16714.691500000001</v>
      </c>
      <c r="BD603" s="35">
        <f>I603/(100-BE603)*100</f>
        <v>13</v>
      </c>
      <c r="BE603" s="35">
        <v>0</v>
      </c>
      <c r="BF603" s="35">
        <f>603</f>
        <v>603</v>
      </c>
      <c r="BH603" s="64">
        <f>H603*AO603</f>
        <v>0</v>
      </c>
      <c r="BI603" s="64">
        <f>H603*AP603</f>
        <v>16714.691500000001</v>
      </c>
      <c r="BJ603" s="64">
        <f>H603*I603</f>
        <v>16714.691500000001</v>
      </c>
      <c r="BK603" s="64" t="s">
        <v>1790</v>
      </c>
      <c r="BL603" s="35">
        <v>783</v>
      </c>
    </row>
    <row r="604" spans="1:64">
      <c r="A604" s="46"/>
      <c r="B604" s="54" t="s">
        <v>70</v>
      </c>
      <c r="C604" s="54" t="s">
        <v>145</v>
      </c>
      <c r="D604" s="163" t="s">
        <v>196</v>
      </c>
      <c r="E604" s="164"/>
      <c r="F604" s="164"/>
      <c r="G604" s="61" t="s">
        <v>57</v>
      </c>
      <c r="H604" s="61" t="s">
        <v>57</v>
      </c>
      <c r="I604" s="61" t="s">
        <v>57</v>
      </c>
      <c r="J604" s="83">
        <f>SUM(J605:J608)</f>
        <v>0</v>
      </c>
      <c r="K604" s="83">
        <f>SUM(K605:K608)</f>
        <v>618.34868999999992</v>
      </c>
      <c r="L604" s="83">
        <f>SUM(L605:L608)</f>
        <v>618.34868999999992</v>
      </c>
      <c r="M604" s="72"/>
      <c r="N604" s="19"/>
      <c r="AI604" s="77" t="s">
        <v>70</v>
      </c>
      <c r="AS604" s="83">
        <f>SUM(AJ605:AJ608)</f>
        <v>0</v>
      </c>
      <c r="AT604" s="83">
        <f>SUM(AK605:AK608)</f>
        <v>0</v>
      </c>
      <c r="AU604" s="83">
        <f>SUM(AL605:AL608)</f>
        <v>618.34868999999992</v>
      </c>
    </row>
    <row r="605" spans="1:64">
      <c r="A605" s="47" t="s">
        <v>601</v>
      </c>
      <c r="B605" s="55" t="s">
        <v>70</v>
      </c>
      <c r="C605" s="55" t="s">
        <v>800</v>
      </c>
      <c r="D605" s="165" t="s">
        <v>1204</v>
      </c>
      <c r="E605" s="166"/>
      <c r="F605" s="166"/>
      <c r="G605" s="55" t="s">
        <v>1634</v>
      </c>
      <c r="H605" s="64">
        <v>0.94116999999999995</v>
      </c>
      <c r="I605" s="64">
        <v>163</v>
      </c>
      <c r="J605" s="64">
        <f>H605*AO605</f>
        <v>0</v>
      </c>
      <c r="K605" s="64">
        <f>H605*AP605</f>
        <v>153.41070999999999</v>
      </c>
      <c r="L605" s="64">
        <f>H605*I605</f>
        <v>153.41070999999999</v>
      </c>
      <c r="M605" s="73" t="s">
        <v>1657</v>
      </c>
      <c r="N605" s="19"/>
      <c r="Z605" s="35">
        <f>IF(AQ605="5",BJ605,0)</f>
        <v>153.41070999999999</v>
      </c>
      <c r="AB605" s="35">
        <f>IF(AQ605="1",BH605,0)</f>
        <v>0</v>
      </c>
      <c r="AC605" s="35">
        <f>IF(AQ605="1",BI605,0)</f>
        <v>0</v>
      </c>
      <c r="AD605" s="35">
        <f>IF(AQ605="7",BH605,0)</f>
        <v>0</v>
      </c>
      <c r="AE605" s="35">
        <f>IF(AQ605="7",BI605,0)</f>
        <v>0</v>
      </c>
      <c r="AF605" s="35">
        <f>IF(AQ605="2",BH605,0)</f>
        <v>0</v>
      </c>
      <c r="AG605" s="35">
        <f>IF(AQ605="2",BI605,0)</f>
        <v>0</v>
      </c>
      <c r="AH605" s="35">
        <f>IF(AQ605="0",BJ605,0)</f>
        <v>0</v>
      </c>
      <c r="AI605" s="77" t="s">
        <v>70</v>
      </c>
      <c r="AJ605" s="64">
        <f>IF(AN605=0,L605,0)</f>
        <v>0</v>
      </c>
      <c r="AK605" s="64">
        <f>IF(AN605=15,L605,0)</f>
        <v>0</v>
      </c>
      <c r="AL605" s="64">
        <f>IF(AN605=21,L605,0)</f>
        <v>153.41070999999999</v>
      </c>
      <c r="AN605" s="35">
        <v>21</v>
      </c>
      <c r="AO605" s="35">
        <f>I605*0</f>
        <v>0</v>
      </c>
      <c r="AP605" s="35">
        <f>I605*(1-0)</f>
        <v>163</v>
      </c>
      <c r="AQ605" s="78" t="s">
        <v>112</v>
      </c>
      <c r="AV605" s="35">
        <f>AW605+AX605</f>
        <v>153.41070999999999</v>
      </c>
      <c r="AW605" s="35">
        <f>H605*AO605</f>
        <v>0</v>
      </c>
      <c r="AX605" s="35">
        <f>H605*AP605</f>
        <v>153.41070999999999</v>
      </c>
      <c r="AY605" s="80" t="s">
        <v>1684</v>
      </c>
      <c r="AZ605" s="80" t="s">
        <v>1760</v>
      </c>
      <c r="BA605" s="77" t="s">
        <v>1783</v>
      </c>
      <c r="BC605" s="35">
        <f>AW605+AX605</f>
        <v>153.41070999999999</v>
      </c>
      <c r="BD605" s="35">
        <f>I605/(100-BE605)*100</f>
        <v>163</v>
      </c>
      <c r="BE605" s="35">
        <v>0</v>
      </c>
      <c r="BF605" s="35">
        <f>605</f>
        <v>605</v>
      </c>
      <c r="BH605" s="64">
        <f>H605*AO605</f>
        <v>0</v>
      </c>
      <c r="BI605" s="64">
        <f>H605*AP605</f>
        <v>153.41070999999999</v>
      </c>
      <c r="BJ605" s="64">
        <f>H605*I605</f>
        <v>153.41070999999999</v>
      </c>
      <c r="BK605" s="64" t="s">
        <v>1790</v>
      </c>
      <c r="BL605" s="35" t="s">
        <v>145</v>
      </c>
    </row>
    <row r="606" spans="1:64">
      <c r="A606" s="47" t="s">
        <v>602</v>
      </c>
      <c r="B606" s="55" t="s">
        <v>70</v>
      </c>
      <c r="C606" s="55" t="s">
        <v>801</v>
      </c>
      <c r="D606" s="165" t="s">
        <v>1205</v>
      </c>
      <c r="E606" s="166"/>
      <c r="F606" s="166"/>
      <c r="G606" s="55" t="s">
        <v>1634</v>
      </c>
      <c r="H606" s="64">
        <v>14.11755</v>
      </c>
      <c r="I606" s="64">
        <v>11</v>
      </c>
      <c r="J606" s="64">
        <f>H606*AO606</f>
        <v>0</v>
      </c>
      <c r="K606" s="64">
        <f>H606*AP606</f>
        <v>155.29304999999999</v>
      </c>
      <c r="L606" s="64">
        <f>H606*I606</f>
        <v>155.29304999999999</v>
      </c>
      <c r="M606" s="73" t="s">
        <v>1657</v>
      </c>
      <c r="N606" s="19"/>
      <c r="Z606" s="35">
        <f>IF(AQ606="5",BJ606,0)</f>
        <v>155.29304999999999</v>
      </c>
      <c r="AB606" s="35">
        <f>IF(AQ606="1",BH606,0)</f>
        <v>0</v>
      </c>
      <c r="AC606" s="35">
        <f>IF(AQ606="1",BI606,0)</f>
        <v>0</v>
      </c>
      <c r="AD606" s="35">
        <f>IF(AQ606="7",BH606,0)</f>
        <v>0</v>
      </c>
      <c r="AE606" s="35">
        <f>IF(AQ606="7",BI606,0)</f>
        <v>0</v>
      </c>
      <c r="AF606" s="35">
        <f>IF(AQ606="2",BH606,0)</f>
        <v>0</v>
      </c>
      <c r="AG606" s="35">
        <f>IF(AQ606="2",BI606,0)</f>
        <v>0</v>
      </c>
      <c r="AH606" s="35">
        <f>IF(AQ606="0",BJ606,0)</f>
        <v>0</v>
      </c>
      <c r="AI606" s="77" t="s">
        <v>70</v>
      </c>
      <c r="AJ606" s="64">
        <f>IF(AN606=0,L606,0)</f>
        <v>0</v>
      </c>
      <c r="AK606" s="64">
        <f>IF(AN606=15,L606,0)</f>
        <v>0</v>
      </c>
      <c r="AL606" s="64">
        <f>IF(AN606=21,L606,0)</f>
        <v>155.29304999999999</v>
      </c>
      <c r="AN606" s="35">
        <v>21</v>
      </c>
      <c r="AO606" s="35">
        <f>I606*0</f>
        <v>0</v>
      </c>
      <c r="AP606" s="35">
        <f>I606*(1-0)</f>
        <v>11</v>
      </c>
      <c r="AQ606" s="78" t="s">
        <v>112</v>
      </c>
      <c r="AV606" s="35">
        <f>AW606+AX606</f>
        <v>155.29304999999999</v>
      </c>
      <c r="AW606" s="35">
        <f>H606*AO606</f>
        <v>0</v>
      </c>
      <c r="AX606" s="35">
        <f>H606*AP606</f>
        <v>155.29304999999999</v>
      </c>
      <c r="AY606" s="80" t="s">
        <v>1684</v>
      </c>
      <c r="AZ606" s="80" t="s">
        <v>1760</v>
      </c>
      <c r="BA606" s="77" t="s">
        <v>1783</v>
      </c>
      <c r="BC606" s="35">
        <f>AW606+AX606</f>
        <v>155.29304999999999</v>
      </c>
      <c r="BD606" s="35">
        <f>I606/(100-BE606)*100</f>
        <v>11</v>
      </c>
      <c r="BE606" s="35">
        <v>0</v>
      </c>
      <c r="BF606" s="35">
        <f>606</f>
        <v>606</v>
      </c>
      <c r="BH606" s="64">
        <f>H606*AO606</f>
        <v>0</v>
      </c>
      <c r="BI606" s="64">
        <f>H606*AP606</f>
        <v>155.29304999999999</v>
      </c>
      <c r="BJ606" s="64">
        <f>H606*I606</f>
        <v>155.29304999999999</v>
      </c>
      <c r="BK606" s="64" t="s">
        <v>1790</v>
      </c>
      <c r="BL606" s="35" t="s">
        <v>145</v>
      </c>
    </row>
    <row r="607" spans="1:64">
      <c r="A607" s="47" t="s">
        <v>603</v>
      </c>
      <c r="B607" s="55" t="s">
        <v>70</v>
      </c>
      <c r="C607" s="55" t="s">
        <v>802</v>
      </c>
      <c r="D607" s="165" t="s">
        <v>1206</v>
      </c>
      <c r="E607" s="166"/>
      <c r="F607" s="166"/>
      <c r="G607" s="55" t="s">
        <v>1634</v>
      </c>
      <c r="H607" s="64">
        <v>0.94116999999999995</v>
      </c>
      <c r="I607" s="64">
        <v>229</v>
      </c>
      <c r="J607" s="64">
        <f>H607*AO607</f>
        <v>0</v>
      </c>
      <c r="K607" s="64">
        <f>H607*AP607</f>
        <v>215.52793</v>
      </c>
      <c r="L607" s="64">
        <f>H607*I607</f>
        <v>215.52793</v>
      </c>
      <c r="M607" s="73" t="s">
        <v>1657</v>
      </c>
      <c r="N607" s="19"/>
      <c r="Z607" s="35">
        <f>IF(AQ607="5",BJ607,0)</f>
        <v>215.52793</v>
      </c>
      <c r="AB607" s="35">
        <f>IF(AQ607="1",BH607,0)</f>
        <v>0</v>
      </c>
      <c r="AC607" s="35">
        <f>IF(AQ607="1",BI607,0)</f>
        <v>0</v>
      </c>
      <c r="AD607" s="35">
        <f>IF(AQ607="7",BH607,0)</f>
        <v>0</v>
      </c>
      <c r="AE607" s="35">
        <f>IF(AQ607="7",BI607,0)</f>
        <v>0</v>
      </c>
      <c r="AF607" s="35">
        <f>IF(AQ607="2",BH607,0)</f>
        <v>0</v>
      </c>
      <c r="AG607" s="35">
        <f>IF(AQ607="2",BI607,0)</f>
        <v>0</v>
      </c>
      <c r="AH607" s="35">
        <f>IF(AQ607="0",BJ607,0)</f>
        <v>0</v>
      </c>
      <c r="AI607" s="77" t="s">
        <v>70</v>
      </c>
      <c r="AJ607" s="64">
        <f>IF(AN607=0,L607,0)</f>
        <v>0</v>
      </c>
      <c r="AK607" s="64">
        <f>IF(AN607=15,L607,0)</f>
        <v>0</v>
      </c>
      <c r="AL607" s="64">
        <f>IF(AN607=21,L607,0)</f>
        <v>215.52793</v>
      </c>
      <c r="AN607" s="35">
        <v>21</v>
      </c>
      <c r="AO607" s="35">
        <f>I607*0</f>
        <v>0</v>
      </c>
      <c r="AP607" s="35">
        <f>I607*(1-0)</f>
        <v>229</v>
      </c>
      <c r="AQ607" s="78" t="s">
        <v>112</v>
      </c>
      <c r="AV607" s="35">
        <f>AW607+AX607</f>
        <v>215.52793</v>
      </c>
      <c r="AW607" s="35">
        <f>H607*AO607</f>
        <v>0</v>
      </c>
      <c r="AX607" s="35">
        <f>H607*AP607</f>
        <v>215.52793</v>
      </c>
      <c r="AY607" s="80" t="s">
        <v>1684</v>
      </c>
      <c r="AZ607" s="80" t="s">
        <v>1760</v>
      </c>
      <c r="BA607" s="77" t="s">
        <v>1783</v>
      </c>
      <c r="BC607" s="35">
        <f>AW607+AX607</f>
        <v>215.52793</v>
      </c>
      <c r="BD607" s="35">
        <f>I607/(100-BE607)*100</f>
        <v>229</v>
      </c>
      <c r="BE607" s="35">
        <v>0</v>
      </c>
      <c r="BF607" s="35">
        <f>607</f>
        <v>607</v>
      </c>
      <c r="BH607" s="64">
        <f>H607*AO607</f>
        <v>0</v>
      </c>
      <c r="BI607" s="64">
        <f>H607*AP607</f>
        <v>215.52793</v>
      </c>
      <c r="BJ607" s="64">
        <f>H607*I607</f>
        <v>215.52793</v>
      </c>
      <c r="BK607" s="64" t="s">
        <v>1790</v>
      </c>
      <c r="BL607" s="35" t="s">
        <v>145</v>
      </c>
    </row>
    <row r="608" spans="1:64">
      <c r="A608" s="47" t="s">
        <v>604</v>
      </c>
      <c r="B608" s="55" t="s">
        <v>70</v>
      </c>
      <c r="C608" s="55" t="s">
        <v>803</v>
      </c>
      <c r="D608" s="165" t="s">
        <v>1207</v>
      </c>
      <c r="E608" s="166"/>
      <c r="F608" s="166"/>
      <c r="G608" s="55" t="s">
        <v>1634</v>
      </c>
      <c r="H608" s="64">
        <v>3.7646799999999998</v>
      </c>
      <c r="I608" s="64">
        <v>25</v>
      </c>
      <c r="J608" s="64">
        <f>H608*AO608</f>
        <v>0</v>
      </c>
      <c r="K608" s="64">
        <f>H608*AP608</f>
        <v>94.11699999999999</v>
      </c>
      <c r="L608" s="64">
        <f>H608*I608</f>
        <v>94.11699999999999</v>
      </c>
      <c r="M608" s="73" t="s">
        <v>1657</v>
      </c>
      <c r="N608" s="19"/>
      <c r="Z608" s="35">
        <f>IF(AQ608="5",BJ608,0)</f>
        <v>94.11699999999999</v>
      </c>
      <c r="AB608" s="35">
        <f>IF(AQ608="1",BH608,0)</f>
        <v>0</v>
      </c>
      <c r="AC608" s="35">
        <f>IF(AQ608="1",BI608,0)</f>
        <v>0</v>
      </c>
      <c r="AD608" s="35">
        <f>IF(AQ608="7",BH608,0)</f>
        <v>0</v>
      </c>
      <c r="AE608" s="35">
        <f>IF(AQ608="7",BI608,0)</f>
        <v>0</v>
      </c>
      <c r="AF608" s="35">
        <f>IF(AQ608="2",BH608,0)</f>
        <v>0</v>
      </c>
      <c r="AG608" s="35">
        <f>IF(AQ608="2",BI608,0)</f>
        <v>0</v>
      </c>
      <c r="AH608" s="35">
        <f>IF(AQ608="0",BJ608,0)</f>
        <v>0</v>
      </c>
      <c r="AI608" s="77" t="s">
        <v>70</v>
      </c>
      <c r="AJ608" s="64">
        <f>IF(AN608=0,L608,0)</f>
        <v>0</v>
      </c>
      <c r="AK608" s="64">
        <f>IF(AN608=15,L608,0)</f>
        <v>0</v>
      </c>
      <c r="AL608" s="64">
        <f>IF(AN608=21,L608,0)</f>
        <v>94.11699999999999</v>
      </c>
      <c r="AN608" s="35">
        <v>21</v>
      </c>
      <c r="AO608" s="35">
        <f>I608*0</f>
        <v>0</v>
      </c>
      <c r="AP608" s="35">
        <f>I608*(1-0)</f>
        <v>25</v>
      </c>
      <c r="AQ608" s="78" t="s">
        <v>112</v>
      </c>
      <c r="AV608" s="35">
        <f>AW608+AX608</f>
        <v>94.11699999999999</v>
      </c>
      <c r="AW608" s="35">
        <f>H608*AO608</f>
        <v>0</v>
      </c>
      <c r="AX608" s="35">
        <f>H608*AP608</f>
        <v>94.11699999999999</v>
      </c>
      <c r="AY608" s="80" t="s">
        <v>1684</v>
      </c>
      <c r="AZ608" s="80" t="s">
        <v>1760</v>
      </c>
      <c r="BA608" s="77" t="s">
        <v>1783</v>
      </c>
      <c r="BC608" s="35">
        <f>AW608+AX608</f>
        <v>94.11699999999999</v>
      </c>
      <c r="BD608" s="35">
        <f>I608/(100-BE608)*100</f>
        <v>25</v>
      </c>
      <c r="BE608" s="35">
        <v>0</v>
      </c>
      <c r="BF608" s="35">
        <f>608</f>
        <v>608</v>
      </c>
      <c r="BH608" s="64">
        <f>H608*AO608</f>
        <v>0</v>
      </c>
      <c r="BI608" s="64">
        <f>H608*AP608</f>
        <v>94.11699999999999</v>
      </c>
      <c r="BJ608" s="64">
        <f>H608*I608</f>
        <v>94.11699999999999</v>
      </c>
      <c r="BK608" s="64" t="s">
        <v>1790</v>
      </c>
      <c r="BL608" s="35" t="s">
        <v>145</v>
      </c>
    </row>
    <row r="609" spans="1:64">
      <c r="A609" s="49"/>
      <c r="B609" s="57" t="s">
        <v>71</v>
      </c>
      <c r="C609" s="57"/>
      <c r="D609" s="172" t="s">
        <v>87</v>
      </c>
      <c r="E609" s="173"/>
      <c r="F609" s="173"/>
      <c r="G609" s="62" t="s">
        <v>57</v>
      </c>
      <c r="H609" s="62" t="s">
        <v>57</v>
      </c>
      <c r="I609" s="62" t="s">
        <v>57</v>
      </c>
      <c r="J609" s="84">
        <f>J610+J617+J619+J622+J628+J634+J643+J645+J650+J662+J664+J670+J676+J680+J685+J690+J694+J696+J698+J705+J709+J715+J726</f>
        <v>423615.95497499994</v>
      </c>
      <c r="K609" s="84">
        <f>K610+K617+K619+K622+K628+K634+K643+K645+K650+K662+K664+K670+K676+K680+K685+K690+K694+K696+K698+K705+K709+K715+K726</f>
        <v>999464.68573999987</v>
      </c>
      <c r="L609" s="84">
        <f>L610+L617+L619+L622+L628+L634+L643+L645+L650+L662+L664+L670+L676+L680+L685+L690+L694+L696+L698+L705+L709+L715+L726</f>
        <v>1423080.6407149998</v>
      </c>
      <c r="M609" s="75"/>
      <c r="N609" s="19"/>
    </row>
    <row r="610" spans="1:64">
      <c r="A610" s="46"/>
      <c r="B610" s="54" t="s">
        <v>71</v>
      </c>
      <c r="C610" s="54" t="s">
        <v>134</v>
      </c>
      <c r="D610" s="163" t="s">
        <v>185</v>
      </c>
      <c r="E610" s="164"/>
      <c r="F610" s="164"/>
      <c r="G610" s="61" t="s">
        <v>57</v>
      </c>
      <c r="H610" s="61" t="s">
        <v>57</v>
      </c>
      <c r="I610" s="61" t="s">
        <v>57</v>
      </c>
      <c r="J610" s="83">
        <f>SUM(J611:J616)</f>
        <v>60947.040000000001</v>
      </c>
      <c r="K610" s="83">
        <f>SUM(K611:K616)</f>
        <v>117225.91</v>
      </c>
      <c r="L610" s="83">
        <f>SUM(L611:L616)</f>
        <v>178172.95</v>
      </c>
      <c r="M610" s="72"/>
      <c r="N610" s="19"/>
      <c r="AI610" s="77" t="s">
        <v>71</v>
      </c>
      <c r="AS610" s="83">
        <f>SUM(AJ611:AJ616)</f>
        <v>0</v>
      </c>
      <c r="AT610" s="83">
        <f>SUM(AK611:AK616)</f>
        <v>0</v>
      </c>
      <c r="AU610" s="83">
        <f>SUM(AL611:AL616)</f>
        <v>178172.95</v>
      </c>
    </row>
    <row r="611" spans="1:64">
      <c r="A611" s="47" t="s">
        <v>605</v>
      </c>
      <c r="B611" s="55" t="s">
        <v>71</v>
      </c>
      <c r="C611" s="55" t="s">
        <v>1027</v>
      </c>
      <c r="D611" s="165" t="s">
        <v>1528</v>
      </c>
      <c r="E611" s="166"/>
      <c r="F611" s="166"/>
      <c r="G611" s="55" t="s">
        <v>1632</v>
      </c>
      <c r="H611" s="64">
        <v>4.7</v>
      </c>
      <c r="I611" s="64">
        <v>1241</v>
      </c>
      <c r="J611" s="64">
        <f>H611*AO611</f>
        <v>0</v>
      </c>
      <c r="K611" s="64">
        <f>H611*AP611</f>
        <v>5832.7</v>
      </c>
      <c r="L611" s="64">
        <f>H611*I611</f>
        <v>5832.7</v>
      </c>
      <c r="M611" s="73" t="s">
        <v>1657</v>
      </c>
      <c r="N611" s="19"/>
      <c r="Z611" s="35">
        <f>IF(AQ611="5",BJ611,0)</f>
        <v>0</v>
      </c>
      <c r="AB611" s="35">
        <f>IF(AQ611="1",BH611,0)</f>
        <v>0</v>
      </c>
      <c r="AC611" s="35">
        <f>IF(AQ611="1",BI611,0)</f>
        <v>5832.7</v>
      </c>
      <c r="AD611" s="35">
        <f>IF(AQ611="7",BH611,0)</f>
        <v>0</v>
      </c>
      <c r="AE611" s="35">
        <f>IF(AQ611="7",BI611,0)</f>
        <v>0</v>
      </c>
      <c r="AF611" s="35">
        <f>IF(AQ611="2",BH611,0)</f>
        <v>0</v>
      </c>
      <c r="AG611" s="35">
        <f>IF(AQ611="2",BI611,0)</f>
        <v>0</v>
      </c>
      <c r="AH611" s="35">
        <f>IF(AQ611="0",BJ611,0)</f>
        <v>0</v>
      </c>
      <c r="AI611" s="77" t="s">
        <v>71</v>
      </c>
      <c r="AJ611" s="64">
        <f>IF(AN611=0,L611,0)</f>
        <v>0</v>
      </c>
      <c r="AK611" s="64">
        <f>IF(AN611=15,L611,0)</f>
        <v>0</v>
      </c>
      <c r="AL611" s="64">
        <f>IF(AN611=21,L611,0)</f>
        <v>5832.7</v>
      </c>
      <c r="AN611" s="35">
        <v>21</v>
      </c>
      <c r="AO611" s="35">
        <f>I611*0</f>
        <v>0</v>
      </c>
      <c r="AP611" s="35">
        <f>I611*(1-0)</f>
        <v>1241</v>
      </c>
      <c r="AQ611" s="78" t="s">
        <v>109</v>
      </c>
      <c r="AV611" s="35">
        <f>AW611+AX611</f>
        <v>5832.7</v>
      </c>
      <c r="AW611" s="35">
        <f>H611*AO611</f>
        <v>0</v>
      </c>
      <c r="AX611" s="35">
        <f>H611*AP611</f>
        <v>5832.7</v>
      </c>
      <c r="AY611" s="80" t="s">
        <v>1673</v>
      </c>
      <c r="AZ611" s="80" t="s">
        <v>1761</v>
      </c>
      <c r="BA611" s="77" t="s">
        <v>1784</v>
      </c>
      <c r="BC611" s="35">
        <f>AW611+AX611</f>
        <v>5832.7</v>
      </c>
      <c r="BD611" s="35">
        <f>I611/(100-BE611)*100</f>
        <v>1241</v>
      </c>
      <c r="BE611" s="35">
        <v>0</v>
      </c>
      <c r="BF611" s="35">
        <f>611</f>
        <v>611</v>
      </c>
      <c r="BH611" s="64">
        <f>H611*AO611</f>
        <v>0</v>
      </c>
      <c r="BI611" s="64">
        <f>H611*AP611</f>
        <v>5832.7</v>
      </c>
      <c r="BJ611" s="64">
        <f>H611*I611</f>
        <v>5832.7</v>
      </c>
      <c r="BK611" s="64" t="s">
        <v>1790</v>
      </c>
      <c r="BL611" s="35">
        <v>62</v>
      </c>
    </row>
    <row r="612" spans="1:64">
      <c r="A612" s="19"/>
      <c r="C612" s="59" t="s">
        <v>730</v>
      </c>
      <c r="D612" s="167" t="s">
        <v>1529</v>
      </c>
      <c r="E612" s="168"/>
      <c r="F612" s="168"/>
      <c r="G612" s="168"/>
      <c r="H612" s="168"/>
      <c r="I612" s="168"/>
      <c r="J612" s="168"/>
      <c r="K612" s="168"/>
      <c r="L612" s="168"/>
      <c r="M612" s="169"/>
      <c r="N612" s="19"/>
    </row>
    <row r="613" spans="1:64">
      <c r="A613" s="47" t="s">
        <v>606</v>
      </c>
      <c r="B613" s="55" t="s">
        <v>71</v>
      </c>
      <c r="C613" s="55" t="s">
        <v>1027</v>
      </c>
      <c r="D613" s="165" t="s">
        <v>1530</v>
      </c>
      <c r="E613" s="166"/>
      <c r="F613" s="166"/>
      <c r="G613" s="55" t="s">
        <v>1632</v>
      </c>
      <c r="H613" s="64">
        <v>59.61</v>
      </c>
      <c r="I613" s="64">
        <v>1361</v>
      </c>
      <c r="J613" s="64">
        <f>H613*AO613</f>
        <v>0</v>
      </c>
      <c r="K613" s="64">
        <f>H613*AP613</f>
        <v>81129.210000000006</v>
      </c>
      <c r="L613" s="64">
        <f>H613*I613</f>
        <v>81129.210000000006</v>
      </c>
      <c r="M613" s="73" t="s">
        <v>1657</v>
      </c>
      <c r="N613" s="19"/>
      <c r="Z613" s="35">
        <f>IF(AQ613="5",BJ613,0)</f>
        <v>0</v>
      </c>
      <c r="AB613" s="35">
        <f>IF(AQ613="1",BH613,0)</f>
        <v>0</v>
      </c>
      <c r="AC613" s="35">
        <f>IF(AQ613="1",BI613,0)</f>
        <v>81129.210000000006</v>
      </c>
      <c r="AD613" s="35">
        <f>IF(AQ613="7",BH613,0)</f>
        <v>0</v>
      </c>
      <c r="AE613" s="35">
        <f>IF(AQ613="7",BI613,0)</f>
        <v>0</v>
      </c>
      <c r="AF613" s="35">
        <f>IF(AQ613="2",BH613,0)</f>
        <v>0</v>
      </c>
      <c r="AG613" s="35">
        <f>IF(AQ613="2",BI613,0)</f>
        <v>0</v>
      </c>
      <c r="AH613" s="35">
        <f>IF(AQ613="0",BJ613,0)</f>
        <v>0</v>
      </c>
      <c r="AI613" s="77" t="s">
        <v>71</v>
      </c>
      <c r="AJ613" s="64">
        <f>IF(AN613=0,L613,0)</f>
        <v>0</v>
      </c>
      <c r="AK613" s="64">
        <f>IF(AN613=15,L613,0)</f>
        <v>0</v>
      </c>
      <c r="AL613" s="64">
        <f>IF(AN613=21,L613,0)</f>
        <v>81129.210000000006</v>
      </c>
      <c r="AN613" s="35">
        <v>21</v>
      </c>
      <c r="AO613" s="35">
        <f>I613*0</f>
        <v>0</v>
      </c>
      <c r="AP613" s="35">
        <f>I613*(1-0)</f>
        <v>1361</v>
      </c>
      <c r="AQ613" s="78" t="s">
        <v>109</v>
      </c>
      <c r="AV613" s="35">
        <f>AW613+AX613</f>
        <v>81129.210000000006</v>
      </c>
      <c r="AW613" s="35">
        <f>H613*AO613</f>
        <v>0</v>
      </c>
      <c r="AX613" s="35">
        <f>H613*AP613</f>
        <v>81129.210000000006</v>
      </c>
      <c r="AY613" s="80" t="s">
        <v>1673</v>
      </c>
      <c r="AZ613" s="80" t="s">
        <v>1761</v>
      </c>
      <c r="BA613" s="77" t="s">
        <v>1784</v>
      </c>
      <c r="BC613" s="35">
        <f>AW613+AX613</f>
        <v>81129.210000000006</v>
      </c>
      <c r="BD613" s="35">
        <f>I613/(100-BE613)*100</f>
        <v>1361</v>
      </c>
      <c r="BE613" s="35">
        <v>0</v>
      </c>
      <c r="BF613" s="35">
        <f>613</f>
        <v>613</v>
      </c>
      <c r="BH613" s="64">
        <f>H613*AO613</f>
        <v>0</v>
      </c>
      <c r="BI613" s="64">
        <f>H613*AP613</f>
        <v>81129.210000000006</v>
      </c>
      <c r="BJ613" s="64">
        <f>H613*I613</f>
        <v>81129.210000000006</v>
      </c>
      <c r="BK613" s="64" t="s">
        <v>1790</v>
      </c>
      <c r="BL613" s="35">
        <v>62</v>
      </c>
    </row>
    <row r="614" spans="1:64">
      <c r="A614" s="19"/>
      <c r="C614" s="59" t="s">
        <v>730</v>
      </c>
      <c r="D614" s="167" t="s">
        <v>1529</v>
      </c>
      <c r="E614" s="168"/>
      <c r="F614" s="168"/>
      <c r="G614" s="168"/>
      <c r="H614" s="168"/>
      <c r="I614" s="168"/>
      <c r="J614" s="168"/>
      <c r="K614" s="168"/>
      <c r="L614" s="168"/>
      <c r="M614" s="169"/>
      <c r="N614" s="19"/>
    </row>
    <row r="615" spans="1:64">
      <c r="A615" s="47" t="s">
        <v>607</v>
      </c>
      <c r="B615" s="55" t="s">
        <v>71</v>
      </c>
      <c r="C615" s="55" t="s">
        <v>1028</v>
      </c>
      <c r="D615" s="165" t="s">
        <v>1531</v>
      </c>
      <c r="E615" s="166"/>
      <c r="F615" s="166"/>
      <c r="G615" s="55" t="s">
        <v>1632</v>
      </c>
      <c r="H615" s="64">
        <v>291</v>
      </c>
      <c r="I615" s="64">
        <v>104</v>
      </c>
      <c r="J615" s="64">
        <f>H615*AO615</f>
        <v>0</v>
      </c>
      <c r="K615" s="64">
        <f>H615*AP615</f>
        <v>30264</v>
      </c>
      <c r="L615" s="64">
        <f>H615*I615</f>
        <v>30264</v>
      </c>
      <c r="M615" s="73" t="s">
        <v>1657</v>
      </c>
      <c r="N615" s="19"/>
      <c r="Z615" s="35">
        <f>IF(AQ615="5",BJ615,0)</f>
        <v>0</v>
      </c>
      <c r="AB615" s="35">
        <f>IF(AQ615="1",BH615,0)</f>
        <v>0</v>
      </c>
      <c r="AC615" s="35">
        <f>IF(AQ615="1",BI615,0)</f>
        <v>30264</v>
      </c>
      <c r="AD615" s="35">
        <f>IF(AQ615="7",BH615,0)</f>
        <v>0</v>
      </c>
      <c r="AE615" s="35">
        <f>IF(AQ615="7",BI615,0)</f>
        <v>0</v>
      </c>
      <c r="AF615" s="35">
        <f>IF(AQ615="2",BH615,0)</f>
        <v>0</v>
      </c>
      <c r="AG615" s="35">
        <f>IF(AQ615="2",BI615,0)</f>
        <v>0</v>
      </c>
      <c r="AH615" s="35">
        <f>IF(AQ615="0",BJ615,0)</f>
        <v>0</v>
      </c>
      <c r="AI615" s="77" t="s">
        <v>71</v>
      </c>
      <c r="AJ615" s="64">
        <f>IF(AN615=0,L615,0)</f>
        <v>0</v>
      </c>
      <c r="AK615" s="64">
        <f>IF(AN615=15,L615,0)</f>
        <v>0</v>
      </c>
      <c r="AL615" s="64">
        <f>IF(AN615=21,L615,0)</f>
        <v>30264</v>
      </c>
      <c r="AN615" s="35">
        <v>21</v>
      </c>
      <c r="AO615" s="35">
        <f>I615*0</f>
        <v>0</v>
      </c>
      <c r="AP615" s="35">
        <f>I615*(1-0)</f>
        <v>104</v>
      </c>
      <c r="AQ615" s="78" t="s">
        <v>109</v>
      </c>
      <c r="AV615" s="35">
        <f>AW615+AX615</f>
        <v>30264</v>
      </c>
      <c r="AW615" s="35">
        <f>H615*AO615</f>
        <v>0</v>
      </c>
      <c r="AX615" s="35">
        <f>H615*AP615</f>
        <v>30264</v>
      </c>
      <c r="AY615" s="80" t="s">
        <v>1673</v>
      </c>
      <c r="AZ615" s="80" t="s">
        <v>1761</v>
      </c>
      <c r="BA615" s="77" t="s">
        <v>1784</v>
      </c>
      <c r="BC615" s="35">
        <f>AW615+AX615</f>
        <v>30264</v>
      </c>
      <c r="BD615" s="35">
        <f>I615/(100-BE615)*100</f>
        <v>104</v>
      </c>
      <c r="BE615" s="35">
        <v>0</v>
      </c>
      <c r="BF615" s="35">
        <f>615</f>
        <v>615</v>
      </c>
      <c r="BH615" s="64">
        <f>H615*AO615</f>
        <v>0</v>
      </c>
      <c r="BI615" s="64">
        <f>H615*AP615</f>
        <v>30264</v>
      </c>
      <c r="BJ615" s="64">
        <f>H615*I615</f>
        <v>30264</v>
      </c>
      <c r="BK615" s="64" t="s">
        <v>1790</v>
      </c>
      <c r="BL615" s="35">
        <v>62</v>
      </c>
    </row>
    <row r="616" spans="1:64">
      <c r="A616" s="48" t="s">
        <v>608</v>
      </c>
      <c r="B616" s="56" t="s">
        <v>71</v>
      </c>
      <c r="C616" s="56" t="s">
        <v>1029</v>
      </c>
      <c r="D616" s="170" t="s">
        <v>1532</v>
      </c>
      <c r="E616" s="171"/>
      <c r="F616" s="171"/>
      <c r="G616" s="56" t="s">
        <v>1632</v>
      </c>
      <c r="H616" s="65">
        <v>896.28</v>
      </c>
      <c r="I616" s="65">
        <v>68</v>
      </c>
      <c r="J616" s="65">
        <f>H616*AO616</f>
        <v>60947.040000000001</v>
      </c>
      <c r="K616" s="65">
        <f>H616*AP616</f>
        <v>0</v>
      </c>
      <c r="L616" s="65">
        <f>H616*I616</f>
        <v>60947.040000000001</v>
      </c>
      <c r="M616" s="74" t="s">
        <v>1657</v>
      </c>
      <c r="N616" s="19"/>
      <c r="Z616" s="35">
        <f>IF(AQ616="5",BJ616,0)</f>
        <v>0</v>
      </c>
      <c r="AB616" s="35">
        <f>IF(AQ616="1",BH616,0)</f>
        <v>60947.040000000001</v>
      </c>
      <c r="AC616" s="35">
        <f>IF(AQ616="1",BI616,0)</f>
        <v>0</v>
      </c>
      <c r="AD616" s="35">
        <f>IF(AQ616="7",BH616,0)</f>
        <v>0</v>
      </c>
      <c r="AE616" s="35">
        <f>IF(AQ616="7",BI616,0)</f>
        <v>0</v>
      </c>
      <c r="AF616" s="35">
        <f>IF(AQ616="2",BH616,0)</f>
        <v>0</v>
      </c>
      <c r="AG616" s="35">
        <f>IF(AQ616="2",BI616,0)</f>
        <v>0</v>
      </c>
      <c r="AH616" s="35">
        <f>IF(AQ616="0",BJ616,0)</f>
        <v>0</v>
      </c>
      <c r="AI616" s="77" t="s">
        <v>71</v>
      </c>
      <c r="AJ616" s="65">
        <f>IF(AN616=0,L616,0)</f>
        <v>0</v>
      </c>
      <c r="AK616" s="65">
        <f>IF(AN616=15,L616,0)</f>
        <v>0</v>
      </c>
      <c r="AL616" s="65">
        <f>IF(AN616=21,L616,0)</f>
        <v>60947.040000000001</v>
      </c>
      <c r="AN616" s="35">
        <v>21</v>
      </c>
      <c r="AO616" s="35">
        <f>I616*1</f>
        <v>68</v>
      </c>
      <c r="AP616" s="35">
        <f>I616*(1-1)</f>
        <v>0</v>
      </c>
      <c r="AQ616" s="79" t="s">
        <v>109</v>
      </c>
      <c r="AV616" s="35">
        <f>AW616+AX616</f>
        <v>60947.040000000001</v>
      </c>
      <c r="AW616" s="35">
        <f>H616*AO616</f>
        <v>60947.040000000001</v>
      </c>
      <c r="AX616" s="35">
        <f>H616*AP616</f>
        <v>0</v>
      </c>
      <c r="AY616" s="80" t="s">
        <v>1673</v>
      </c>
      <c r="AZ616" s="80" t="s">
        <v>1761</v>
      </c>
      <c r="BA616" s="77" t="s">
        <v>1784</v>
      </c>
      <c r="BC616" s="35">
        <f>AW616+AX616</f>
        <v>60947.040000000001</v>
      </c>
      <c r="BD616" s="35">
        <f>I616/(100-BE616)*100</f>
        <v>68</v>
      </c>
      <c r="BE616" s="35">
        <v>0</v>
      </c>
      <c r="BF616" s="35">
        <f>616</f>
        <v>616</v>
      </c>
      <c r="BH616" s="65">
        <f>H616*AO616</f>
        <v>60947.040000000001</v>
      </c>
      <c r="BI616" s="65">
        <f>H616*AP616</f>
        <v>0</v>
      </c>
      <c r="BJ616" s="65">
        <f>H616*I616</f>
        <v>60947.040000000001</v>
      </c>
      <c r="BK616" s="65" t="s">
        <v>1642</v>
      </c>
      <c r="BL616" s="35">
        <v>62</v>
      </c>
    </row>
    <row r="617" spans="1:64">
      <c r="A617" s="46"/>
      <c r="B617" s="54" t="s">
        <v>71</v>
      </c>
      <c r="C617" s="54" t="s">
        <v>142</v>
      </c>
      <c r="D617" s="163" t="s">
        <v>193</v>
      </c>
      <c r="E617" s="164"/>
      <c r="F617" s="164"/>
      <c r="G617" s="61" t="s">
        <v>57</v>
      </c>
      <c r="H617" s="61" t="s">
        <v>57</v>
      </c>
      <c r="I617" s="61" t="s">
        <v>57</v>
      </c>
      <c r="J617" s="83">
        <f>SUM(J618:J618)</f>
        <v>0</v>
      </c>
      <c r="K617" s="83">
        <f>SUM(K618:K618)</f>
        <v>205.2</v>
      </c>
      <c r="L617" s="83">
        <f>SUM(L618:L618)</f>
        <v>205.2</v>
      </c>
      <c r="M617" s="72"/>
      <c r="N617" s="19"/>
      <c r="AI617" s="77" t="s">
        <v>71</v>
      </c>
      <c r="AS617" s="83">
        <f>SUM(AJ618:AJ618)</f>
        <v>0</v>
      </c>
      <c r="AT617" s="83">
        <f>SUM(AK618:AK618)</f>
        <v>0</v>
      </c>
      <c r="AU617" s="83">
        <f>SUM(AL618:AL618)</f>
        <v>205.2</v>
      </c>
    </row>
    <row r="618" spans="1:64">
      <c r="A618" s="47" t="s">
        <v>609</v>
      </c>
      <c r="B618" s="55" t="s">
        <v>71</v>
      </c>
      <c r="C618" s="55" t="s">
        <v>1030</v>
      </c>
      <c r="D618" s="165" t="s">
        <v>1533</v>
      </c>
      <c r="E618" s="166"/>
      <c r="F618" s="166"/>
      <c r="G618" s="55" t="s">
        <v>1633</v>
      </c>
      <c r="H618" s="64">
        <v>1.2</v>
      </c>
      <c r="I618" s="64">
        <v>171</v>
      </c>
      <c r="J618" s="64">
        <f>H618*AO618</f>
        <v>0</v>
      </c>
      <c r="K618" s="64">
        <f>H618*AP618</f>
        <v>205.2</v>
      </c>
      <c r="L618" s="64">
        <f>H618*I618</f>
        <v>205.2</v>
      </c>
      <c r="M618" s="73" t="s">
        <v>1657</v>
      </c>
      <c r="N618" s="19"/>
      <c r="Z618" s="35">
        <f>IF(AQ618="5",BJ618,0)</f>
        <v>0</v>
      </c>
      <c r="AB618" s="35">
        <f>IF(AQ618="1",BH618,0)</f>
        <v>0</v>
      </c>
      <c r="AC618" s="35">
        <f>IF(AQ618="1",BI618,0)</f>
        <v>205.2</v>
      </c>
      <c r="AD618" s="35">
        <f>IF(AQ618="7",BH618,0)</f>
        <v>0</v>
      </c>
      <c r="AE618" s="35">
        <f>IF(AQ618="7",BI618,0)</f>
        <v>0</v>
      </c>
      <c r="AF618" s="35">
        <f>IF(AQ618="2",BH618,0)</f>
        <v>0</v>
      </c>
      <c r="AG618" s="35">
        <f>IF(AQ618="2",BI618,0)</f>
        <v>0</v>
      </c>
      <c r="AH618" s="35">
        <f>IF(AQ618="0",BJ618,0)</f>
        <v>0</v>
      </c>
      <c r="AI618" s="77" t="s">
        <v>71</v>
      </c>
      <c r="AJ618" s="64">
        <f>IF(AN618=0,L618,0)</f>
        <v>0</v>
      </c>
      <c r="AK618" s="64">
        <f>IF(AN618=15,L618,0)</f>
        <v>0</v>
      </c>
      <c r="AL618" s="64">
        <f>IF(AN618=21,L618,0)</f>
        <v>205.2</v>
      </c>
      <c r="AN618" s="35">
        <v>21</v>
      </c>
      <c r="AO618" s="35">
        <f>I618*0</f>
        <v>0</v>
      </c>
      <c r="AP618" s="35">
        <f>I618*(1-0)</f>
        <v>171</v>
      </c>
      <c r="AQ618" s="78" t="s">
        <v>109</v>
      </c>
      <c r="AV618" s="35">
        <f>AW618+AX618</f>
        <v>205.2</v>
      </c>
      <c r="AW618" s="35">
        <f>H618*AO618</f>
        <v>0</v>
      </c>
      <c r="AX618" s="35">
        <f>H618*AP618</f>
        <v>205.2</v>
      </c>
      <c r="AY618" s="80" t="s">
        <v>1681</v>
      </c>
      <c r="AZ618" s="80" t="s">
        <v>1762</v>
      </c>
      <c r="BA618" s="77" t="s">
        <v>1784</v>
      </c>
      <c r="BC618" s="35">
        <f>AW618+AX618</f>
        <v>205.2</v>
      </c>
      <c r="BD618" s="35">
        <f>I618/(100-BE618)*100</f>
        <v>171</v>
      </c>
      <c r="BE618" s="35">
        <v>0</v>
      </c>
      <c r="BF618" s="35">
        <f>618</f>
        <v>618</v>
      </c>
      <c r="BH618" s="64">
        <f>H618*AO618</f>
        <v>0</v>
      </c>
      <c r="BI618" s="64">
        <f>H618*AP618</f>
        <v>205.2</v>
      </c>
      <c r="BJ618" s="64">
        <f>H618*I618</f>
        <v>205.2</v>
      </c>
      <c r="BK618" s="64" t="s">
        <v>1790</v>
      </c>
      <c r="BL618" s="35">
        <v>96</v>
      </c>
    </row>
    <row r="619" spans="1:64">
      <c r="A619" s="46"/>
      <c r="B619" s="54" t="s">
        <v>71</v>
      </c>
      <c r="C619" s="54" t="s">
        <v>143</v>
      </c>
      <c r="D619" s="163" t="s">
        <v>194</v>
      </c>
      <c r="E619" s="164"/>
      <c r="F619" s="164"/>
      <c r="G619" s="61" t="s">
        <v>57</v>
      </c>
      <c r="H619" s="61" t="s">
        <v>57</v>
      </c>
      <c r="I619" s="61" t="s">
        <v>57</v>
      </c>
      <c r="J619" s="83">
        <f>SUM(J620:J621)</f>
        <v>0</v>
      </c>
      <c r="K619" s="83">
        <f>SUM(K620:K621)</f>
        <v>1024</v>
      </c>
      <c r="L619" s="83">
        <f>SUM(L620:L621)</f>
        <v>1024</v>
      </c>
      <c r="M619" s="72"/>
      <c r="N619" s="19"/>
      <c r="AI619" s="77" t="s">
        <v>71</v>
      </c>
      <c r="AS619" s="83">
        <f>SUM(AJ620:AJ621)</f>
        <v>0</v>
      </c>
      <c r="AT619" s="83">
        <f>SUM(AK620:AK621)</f>
        <v>0</v>
      </c>
      <c r="AU619" s="83">
        <f>SUM(AL620:AL621)</f>
        <v>1024</v>
      </c>
    </row>
    <row r="620" spans="1:64">
      <c r="A620" s="47" t="s">
        <v>610</v>
      </c>
      <c r="B620" s="55" t="s">
        <v>71</v>
      </c>
      <c r="C620" s="55" t="s">
        <v>1031</v>
      </c>
      <c r="D620" s="165" t="s">
        <v>1534</v>
      </c>
      <c r="E620" s="166"/>
      <c r="F620" s="166"/>
      <c r="G620" s="55" t="s">
        <v>1633</v>
      </c>
      <c r="H620" s="64">
        <v>15.8</v>
      </c>
      <c r="I620" s="64">
        <v>25</v>
      </c>
      <c r="J620" s="64">
        <f>H620*AO620</f>
        <v>0</v>
      </c>
      <c r="K620" s="64">
        <f>H620*AP620</f>
        <v>395</v>
      </c>
      <c r="L620" s="64">
        <f>H620*I620</f>
        <v>395</v>
      </c>
      <c r="M620" s="73" t="s">
        <v>1657</v>
      </c>
      <c r="N620" s="19"/>
      <c r="Z620" s="35">
        <f>IF(AQ620="5",BJ620,0)</f>
        <v>0</v>
      </c>
      <c r="AB620" s="35">
        <f>IF(AQ620="1",BH620,0)</f>
        <v>0</v>
      </c>
      <c r="AC620" s="35">
        <f>IF(AQ620="1",BI620,0)</f>
        <v>395</v>
      </c>
      <c r="AD620" s="35">
        <f>IF(AQ620="7",BH620,0)</f>
        <v>0</v>
      </c>
      <c r="AE620" s="35">
        <f>IF(AQ620="7",BI620,0)</f>
        <v>0</v>
      </c>
      <c r="AF620" s="35">
        <f>IF(AQ620="2",BH620,0)</f>
        <v>0</v>
      </c>
      <c r="AG620" s="35">
        <f>IF(AQ620="2",BI620,0)</f>
        <v>0</v>
      </c>
      <c r="AH620" s="35">
        <f>IF(AQ620="0",BJ620,0)</f>
        <v>0</v>
      </c>
      <c r="AI620" s="77" t="s">
        <v>71</v>
      </c>
      <c r="AJ620" s="64">
        <f>IF(AN620=0,L620,0)</f>
        <v>0</v>
      </c>
      <c r="AK620" s="64">
        <f>IF(AN620=15,L620,0)</f>
        <v>0</v>
      </c>
      <c r="AL620" s="64">
        <f>IF(AN620=21,L620,0)</f>
        <v>395</v>
      </c>
      <c r="AN620" s="35">
        <v>21</v>
      </c>
      <c r="AO620" s="35">
        <f>I620*0</f>
        <v>0</v>
      </c>
      <c r="AP620" s="35">
        <f>I620*(1-0)</f>
        <v>25</v>
      </c>
      <c r="AQ620" s="78" t="s">
        <v>109</v>
      </c>
      <c r="AV620" s="35">
        <f>AW620+AX620</f>
        <v>395</v>
      </c>
      <c r="AW620" s="35">
        <f>H620*AO620</f>
        <v>0</v>
      </c>
      <c r="AX620" s="35">
        <f>H620*AP620</f>
        <v>395</v>
      </c>
      <c r="AY620" s="80" t="s">
        <v>1682</v>
      </c>
      <c r="AZ620" s="80" t="s">
        <v>1762</v>
      </c>
      <c r="BA620" s="77" t="s">
        <v>1784</v>
      </c>
      <c r="BC620" s="35">
        <f>AW620+AX620</f>
        <v>395</v>
      </c>
      <c r="BD620" s="35">
        <f>I620/(100-BE620)*100</f>
        <v>25</v>
      </c>
      <c r="BE620" s="35">
        <v>0</v>
      </c>
      <c r="BF620" s="35">
        <f>620</f>
        <v>620</v>
      </c>
      <c r="BH620" s="64">
        <f>H620*AO620</f>
        <v>0</v>
      </c>
      <c r="BI620" s="64">
        <f>H620*AP620</f>
        <v>395</v>
      </c>
      <c r="BJ620" s="64">
        <f>H620*I620</f>
        <v>395</v>
      </c>
      <c r="BK620" s="64" t="s">
        <v>1790</v>
      </c>
      <c r="BL620" s="35">
        <v>97</v>
      </c>
    </row>
    <row r="621" spans="1:64">
      <c r="A621" s="47" t="s">
        <v>611</v>
      </c>
      <c r="B621" s="55" t="s">
        <v>71</v>
      </c>
      <c r="C621" s="55" t="s">
        <v>1032</v>
      </c>
      <c r="D621" s="165" t="s">
        <v>1535</v>
      </c>
      <c r="E621" s="166"/>
      <c r="F621" s="166"/>
      <c r="G621" s="55" t="s">
        <v>1632</v>
      </c>
      <c r="H621" s="64">
        <v>18.5</v>
      </c>
      <c r="I621" s="64">
        <v>34</v>
      </c>
      <c r="J621" s="64">
        <f>H621*AO621</f>
        <v>0</v>
      </c>
      <c r="K621" s="64">
        <f>H621*AP621</f>
        <v>629</v>
      </c>
      <c r="L621" s="64">
        <f>H621*I621</f>
        <v>629</v>
      </c>
      <c r="M621" s="73" t="s">
        <v>1657</v>
      </c>
      <c r="N621" s="19"/>
      <c r="Z621" s="35">
        <f>IF(AQ621="5",BJ621,0)</f>
        <v>0</v>
      </c>
      <c r="AB621" s="35">
        <f>IF(AQ621="1",BH621,0)</f>
        <v>0</v>
      </c>
      <c r="AC621" s="35">
        <f>IF(AQ621="1",BI621,0)</f>
        <v>629</v>
      </c>
      <c r="AD621" s="35">
        <f>IF(AQ621="7",BH621,0)</f>
        <v>0</v>
      </c>
      <c r="AE621" s="35">
        <f>IF(AQ621="7",BI621,0)</f>
        <v>0</v>
      </c>
      <c r="AF621" s="35">
        <f>IF(AQ621="2",BH621,0)</f>
        <v>0</v>
      </c>
      <c r="AG621" s="35">
        <f>IF(AQ621="2",BI621,0)</f>
        <v>0</v>
      </c>
      <c r="AH621" s="35">
        <f>IF(AQ621="0",BJ621,0)</f>
        <v>0</v>
      </c>
      <c r="AI621" s="77" t="s">
        <v>71</v>
      </c>
      <c r="AJ621" s="64">
        <f>IF(AN621=0,L621,0)</f>
        <v>0</v>
      </c>
      <c r="AK621" s="64">
        <f>IF(AN621=15,L621,0)</f>
        <v>0</v>
      </c>
      <c r="AL621" s="64">
        <f>IF(AN621=21,L621,0)</f>
        <v>629</v>
      </c>
      <c r="AN621" s="35">
        <v>21</v>
      </c>
      <c r="AO621" s="35">
        <f>I621*0</f>
        <v>0</v>
      </c>
      <c r="AP621" s="35">
        <f>I621*(1-0)</f>
        <v>34</v>
      </c>
      <c r="AQ621" s="78" t="s">
        <v>109</v>
      </c>
      <c r="AV621" s="35">
        <f>AW621+AX621</f>
        <v>629</v>
      </c>
      <c r="AW621" s="35">
        <f>H621*AO621</f>
        <v>0</v>
      </c>
      <c r="AX621" s="35">
        <f>H621*AP621</f>
        <v>629</v>
      </c>
      <c r="AY621" s="80" t="s">
        <v>1682</v>
      </c>
      <c r="AZ621" s="80" t="s">
        <v>1762</v>
      </c>
      <c r="BA621" s="77" t="s">
        <v>1784</v>
      </c>
      <c r="BC621" s="35">
        <f>AW621+AX621</f>
        <v>629</v>
      </c>
      <c r="BD621" s="35">
        <f>I621/(100-BE621)*100</f>
        <v>34</v>
      </c>
      <c r="BE621" s="35">
        <v>0</v>
      </c>
      <c r="BF621" s="35">
        <f>621</f>
        <v>621</v>
      </c>
      <c r="BH621" s="64">
        <f>H621*AO621</f>
        <v>0</v>
      </c>
      <c r="BI621" s="64">
        <f>H621*AP621</f>
        <v>629</v>
      </c>
      <c r="BJ621" s="64">
        <f>H621*I621</f>
        <v>629</v>
      </c>
      <c r="BK621" s="64" t="s">
        <v>1790</v>
      </c>
      <c r="BL621" s="35">
        <v>97</v>
      </c>
    </row>
    <row r="622" spans="1:64">
      <c r="A622" s="46"/>
      <c r="B622" s="54" t="s">
        <v>71</v>
      </c>
      <c r="C622" s="54" t="s">
        <v>145</v>
      </c>
      <c r="D622" s="163" t="s">
        <v>196</v>
      </c>
      <c r="E622" s="164"/>
      <c r="F622" s="164"/>
      <c r="G622" s="61" t="s">
        <v>57</v>
      </c>
      <c r="H622" s="61" t="s">
        <v>57</v>
      </c>
      <c r="I622" s="61" t="s">
        <v>57</v>
      </c>
      <c r="J622" s="83">
        <f>SUM(J623:J627)</f>
        <v>0</v>
      </c>
      <c r="K622" s="83">
        <f>SUM(K623:K627)</f>
        <v>43283.16</v>
      </c>
      <c r="L622" s="83">
        <f>SUM(L623:L627)</f>
        <v>43283.16</v>
      </c>
      <c r="M622" s="72"/>
      <c r="N622" s="19"/>
      <c r="AI622" s="77" t="s">
        <v>71</v>
      </c>
      <c r="AS622" s="83">
        <f>SUM(AJ623:AJ627)</f>
        <v>0</v>
      </c>
      <c r="AT622" s="83">
        <f>SUM(AK623:AK627)</f>
        <v>0</v>
      </c>
      <c r="AU622" s="83">
        <f>SUM(AL623:AL627)</f>
        <v>43283.16</v>
      </c>
    </row>
    <row r="623" spans="1:64">
      <c r="A623" s="47" t="s">
        <v>612</v>
      </c>
      <c r="B623" s="55" t="s">
        <v>71</v>
      </c>
      <c r="C623" s="55" t="s">
        <v>800</v>
      </c>
      <c r="D623" s="165" t="s">
        <v>1204</v>
      </c>
      <c r="E623" s="166"/>
      <c r="F623" s="166"/>
      <c r="G623" s="55" t="s">
        <v>1634</v>
      </c>
      <c r="H623" s="64">
        <v>26.28</v>
      </c>
      <c r="I623" s="64">
        <v>163</v>
      </c>
      <c r="J623" s="64">
        <f>H623*AO623</f>
        <v>0</v>
      </c>
      <c r="K623" s="64">
        <f>H623*AP623</f>
        <v>4283.6400000000003</v>
      </c>
      <c r="L623" s="64">
        <f>H623*I623</f>
        <v>4283.6400000000003</v>
      </c>
      <c r="M623" s="73" t="s">
        <v>1657</v>
      </c>
      <c r="N623" s="19"/>
      <c r="Z623" s="35">
        <f>IF(AQ623="5",BJ623,0)</f>
        <v>4283.6400000000003</v>
      </c>
      <c r="AB623" s="35">
        <f>IF(AQ623="1",BH623,0)</f>
        <v>0</v>
      </c>
      <c r="AC623" s="35">
        <f>IF(AQ623="1",BI623,0)</f>
        <v>0</v>
      </c>
      <c r="AD623" s="35">
        <f>IF(AQ623="7",BH623,0)</f>
        <v>0</v>
      </c>
      <c r="AE623" s="35">
        <f>IF(AQ623="7",BI623,0)</f>
        <v>0</v>
      </c>
      <c r="AF623" s="35">
        <f>IF(AQ623="2",BH623,0)</f>
        <v>0</v>
      </c>
      <c r="AG623" s="35">
        <f>IF(AQ623="2",BI623,0)</f>
        <v>0</v>
      </c>
      <c r="AH623" s="35">
        <f>IF(AQ623="0",BJ623,0)</f>
        <v>0</v>
      </c>
      <c r="AI623" s="77" t="s">
        <v>71</v>
      </c>
      <c r="AJ623" s="64">
        <f>IF(AN623=0,L623,0)</f>
        <v>0</v>
      </c>
      <c r="AK623" s="64">
        <f>IF(AN623=15,L623,0)</f>
        <v>0</v>
      </c>
      <c r="AL623" s="64">
        <f>IF(AN623=21,L623,0)</f>
        <v>4283.6400000000003</v>
      </c>
      <c r="AN623" s="35">
        <v>21</v>
      </c>
      <c r="AO623" s="35">
        <f>I623*0</f>
        <v>0</v>
      </c>
      <c r="AP623" s="35">
        <f>I623*(1-0)</f>
        <v>163</v>
      </c>
      <c r="AQ623" s="78" t="s">
        <v>112</v>
      </c>
      <c r="AV623" s="35">
        <f>AW623+AX623</f>
        <v>4283.6400000000003</v>
      </c>
      <c r="AW623" s="35">
        <f>H623*AO623</f>
        <v>0</v>
      </c>
      <c r="AX623" s="35">
        <f>H623*AP623</f>
        <v>4283.6400000000003</v>
      </c>
      <c r="AY623" s="80" t="s">
        <v>1684</v>
      </c>
      <c r="AZ623" s="80" t="s">
        <v>1762</v>
      </c>
      <c r="BA623" s="77" t="s">
        <v>1784</v>
      </c>
      <c r="BC623" s="35">
        <f>AW623+AX623</f>
        <v>4283.6400000000003</v>
      </c>
      <c r="BD623" s="35">
        <f>I623/(100-BE623)*100</f>
        <v>163</v>
      </c>
      <c r="BE623" s="35">
        <v>0</v>
      </c>
      <c r="BF623" s="35">
        <f>623</f>
        <v>623</v>
      </c>
      <c r="BH623" s="64">
        <f>H623*AO623</f>
        <v>0</v>
      </c>
      <c r="BI623" s="64">
        <f>H623*AP623</f>
        <v>4283.6400000000003</v>
      </c>
      <c r="BJ623" s="64">
        <f>H623*I623</f>
        <v>4283.6400000000003</v>
      </c>
      <c r="BK623" s="64" t="s">
        <v>1790</v>
      </c>
      <c r="BL623" s="35" t="s">
        <v>145</v>
      </c>
    </row>
    <row r="624" spans="1:64">
      <c r="A624" s="47" t="s">
        <v>613</v>
      </c>
      <c r="B624" s="55" t="s">
        <v>71</v>
      </c>
      <c r="C624" s="55" t="s">
        <v>801</v>
      </c>
      <c r="D624" s="165" t="s">
        <v>1205</v>
      </c>
      <c r="E624" s="166"/>
      <c r="F624" s="166"/>
      <c r="G624" s="55" t="s">
        <v>1634</v>
      </c>
      <c r="H624" s="64">
        <v>394.2</v>
      </c>
      <c r="I624" s="64">
        <v>11</v>
      </c>
      <c r="J624" s="64">
        <f>H624*AO624</f>
        <v>0</v>
      </c>
      <c r="K624" s="64">
        <f>H624*AP624</f>
        <v>4336.2</v>
      </c>
      <c r="L624" s="64">
        <f>H624*I624</f>
        <v>4336.2</v>
      </c>
      <c r="M624" s="73" t="s">
        <v>1657</v>
      </c>
      <c r="N624" s="19"/>
      <c r="Z624" s="35">
        <f>IF(AQ624="5",BJ624,0)</f>
        <v>4336.2</v>
      </c>
      <c r="AB624" s="35">
        <f>IF(AQ624="1",BH624,0)</f>
        <v>0</v>
      </c>
      <c r="AC624" s="35">
        <f>IF(AQ624="1",BI624,0)</f>
        <v>0</v>
      </c>
      <c r="AD624" s="35">
        <f>IF(AQ624="7",BH624,0)</f>
        <v>0</v>
      </c>
      <c r="AE624" s="35">
        <f>IF(AQ624="7",BI624,0)</f>
        <v>0</v>
      </c>
      <c r="AF624" s="35">
        <f>IF(AQ624="2",BH624,0)</f>
        <v>0</v>
      </c>
      <c r="AG624" s="35">
        <f>IF(AQ624="2",BI624,0)</f>
        <v>0</v>
      </c>
      <c r="AH624" s="35">
        <f>IF(AQ624="0",BJ624,0)</f>
        <v>0</v>
      </c>
      <c r="AI624" s="77" t="s">
        <v>71</v>
      </c>
      <c r="AJ624" s="64">
        <f>IF(AN624=0,L624,0)</f>
        <v>0</v>
      </c>
      <c r="AK624" s="64">
        <f>IF(AN624=15,L624,0)</f>
        <v>0</v>
      </c>
      <c r="AL624" s="64">
        <f>IF(AN624=21,L624,0)</f>
        <v>4336.2</v>
      </c>
      <c r="AN624" s="35">
        <v>21</v>
      </c>
      <c r="AO624" s="35">
        <f>I624*0</f>
        <v>0</v>
      </c>
      <c r="AP624" s="35">
        <f>I624*(1-0)</f>
        <v>11</v>
      </c>
      <c r="AQ624" s="78" t="s">
        <v>112</v>
      </c>
      <c r="AV624" s="35">
        <f>AW624+AX624</f>
        <v>4336.2</v>
      </c>
      <c r="AW624" s="35">
        <f>H624*AO624</f>
        <v>0</v>
      </c>
      <c r="AX624" s="35">
        <f>H624*AP624</f>
        <v>4336.2</v>
      </c>
      <c r="AY624" s="80" t="s">
        <v>1684</v>
      </c>
      <c r="AZ624" s="80" t="s">
        <v>1762</v>
      </c>
      <c r="BA624" s="77" t="s">
        <v>1784</v>
      </c>
      <c r="BC624" s="35">
        <f>AW624+AX624</f>
        <v>4336.2</v>
      </c>
      <c r="BD624" s="35">
        <f>I624/(100-BE624)*100</f>
        <v>11</v>
      </c>
      <c r="BE624" s="35">
        <v>0</v>
      </c>
      <c r="BF624" s="35">
        <f>624</f>
        <v>624</v>
      </c>
      <c r="BH624" s="64">
        <f>H624*AO624</f>
        <v>0</v>
      </c>
      <c r="BI624" s="64">
        <f>H624*AP624</f>
        <v>4336.2</v>
      </c>
      <c r="BJ624" s="64">
        <f>H624*I624</f>
        <v>4336.2</v>
      </c>
      <c r="BK624" s="64" t="s">
        <v>1790</v>
      </c>
      <c r="BL624" s="35" t="s">
        <v>145</v>
      </c>
    </row>
    <row r="625" spans="1:64">
      <c r="A625" s="47" t="s">
        <v>614</v>
      </c>
      <c r="B625" s="55" t="s">
        <v>71</v>
      </c>
      <c r="C625" s="55" t="s">
        <v>802</v>
      </c>
      <c r="D625" s="165" t="s">
        <v>1206</v>
      </c>
      <c r="E625" s="166"/>
      <c r="F625" s="166"/>
      <c r="G625" s="55" t="s">
        <v>1634</v>
      </c>
      <c r="H625" s="64">
        <v>26.28</v>
      </c>
      <c r="I625" s="64">
        <v>229</v>
      </c>
      <c r="J625" s="64">
        <f>H625*AO625</f>
        <v>0</v>
      </c>
      <c r="K625" s="64">
        <f>H625*AP625</f>
        <v>6018.12</v>
      </c>
      <c r="L625" s="64">
        <f>H625*I625</f>
        <v>6018.12</v>
      </c>
      <c r="M625" s="73" t="s">
        <v>1657</v>
      </c>
      <c r="N625" s="19"/>
      <c r="Z625" s="35">
        <f>IF(AQ625="5",BJ625,0)</f>
        <v>6018.12</v>
      </c>
      <c r="AB625" s="35">
        <f>IF(AQ625="1",BH625,0)</f>
        <v>0</v>
      </c>
      <c r="AC625" s="35">
        <f>IF(AQ625="1",BI625,0)</f>
        <v>0</v>
      </c>
      <c r="AD625" s="35">
        <f>IF(AQ625="7",BH625,0)</f>
        <v>0</v>
      </c>
      <c r="AE625" s="35">
        <f>IF(AQ625="7",BI625,0)</f>
        <v>0</v>
      </c>
      <c r="AF625" s="35">
        <f>IF(AQ625="2",BH625,0)</f>
        <v>0</v>
      </c>
      <c r="AG625" s="35">
        <f>IF(AQ625="2",BI625,0)</f>
        <v>0</v>
      </c>
      <c r="AH625" s="35">
        <f>IF(AQ625="0",BJ625,0)</f>
        <v>0</v>
      </c>
      <c r="AI625" s="77" t="s">
        <v>71</v>
      </c>
      <c r="AJ625" s="64">
        <f>IF(AN625=0,L625,0)</f>
        <v>0</v>
      </c>
      <c r="AK625" s="64">
        <f>IF(AN625=15,L625,0)</f>
        <v>0</v>
      </c>
      <c r="AL625" s="64">
        <f>IF(AN625=21,L625,0)</f>
        <v>6018.12</v>
      </c>
      <c r="AN625" s="35">
        <v>21</v>
      </c>
      <c r="AO625" s="35">
        <f>I625*0</f>
        <v>0</v>
      </c>
      <c r="AP625" s="35">
        <f>I625*(1-0)</f>
        <v>229</v>
      </c>
      <c r="AQ625" s="78" t="s">
        <v>112</v>
      </c>
      <c r="AV625" s="35">
        <f>AW625+AX625</f>
        <v>6018.12</v>
      </c>
      <c r="AW625" s="35">
        <f>H625*AO625</f>
        <v>0</v>
      </c>
      <c r="AX625" s="35">
        <f>H625*AP625</f>
        <v>6018.12</v>
      </c>
      <c r="AY625" s="80" t="s">
        <v>1684</v>
      </c>
      <c r="AZ625" s="80" t="s">
        <v>1762</v>
      </c>
      <c r="BA625" s="77" t="s">
        <v>1784</v>
      </c>
      <c r="BC625" s="35">
        <f>AW625+AX625</f>
        <v>6018.12</v>
      </c>
      <c r="BD625" s="35">
        <f>I625/(100-BE625)*100</f>
        <v>229</v>
      </c>
      <c r="BE625" s="35">
        <v>0</v>
      </c>
      <c r="BF625" s="35">
        <f>625</f>
        <v>625</v>
      </c>
      <c r="BH625" s="64">
        <f>H625*AO625</f>
        <v>0</v>
      </c>
      <c r="BI625" s="64">
        <f>H625*AP625</f>
        <v>6018.12</v>
      </c>
      <c r="BJ625" s="64">
        <f>H625*I625</f>
        <v>6018.12</v>
      </c>
      <c r="BK625" s="64" t="s">
        <v>1790</v>
      </c>
      <c r="BL625" s="35" t="s">
        <v>145</v>
      </c>
    </row>
    <row r="626" spans="1:64">
      <c r="A626" s="47" t="s">
        <v>615</v>
      </c>
      <c r="B626" s="55" t="s">
        <v>71</v>
      </c>
      <c r="C626" s="55" t="s">
        <v>803</v>
      </c>
      <c r="D626" s="165" t="s">
        <v>1207</v>
      </c>
      <c r="E626" s="166"/>
      <c r="F626" s="166"/>
      <c r="G626" s="55" t="s">
        <v>1634</v>
      </c>
      <c r="H626" s="64">
        <v>105.12</v>
      </c>
      <c r="I626" s="64">
        <v>25</v>
      </c>
      <c r="J626" s="64">
        <f>H626*AO626</f>
        <v>0</v>
      </c>
      <c r="K626" s="64">
        <f>H626*AP626</f>
        <v>2628</v>
      </c>
      <c r="L626" s="64">
        <f>H626*I626</f>
        <v>2628</v>
      </c>
      <c r="M626" s="73" t="s">
        <v>1657</v>
      </c>
      <c r="N626" s="19"/>
      <c r="Z626" s="35">
        <f>IF(AQ626="5",BJ626,0)</f>
        <v>2628</v>
      </c>
      <c r="AB626" s="35">
        <f>IF(AQ626="1",BH626,0)</f>
        <v>0</v>
      </c>
      <c r="AC626" s="35">
        <f>IF(AQ626="1",BI626,0)</f>
        <v>0</v>
      </c>
      <c r="AD626" s="35">
        <f>IF(AQ626="7",BH626,0)</f>
        <v>0</v>
      </c>
      <c r="AE626" s="35">
        <f>IF(AQ626="7",BI626,0)</f>
        <v>0</v>
      </c>
      <c r="AF626" s="35">
        <f>IF(AQ626="2",BH626,0)</f>
        <v>0</v>
      </c>
      <c r="AG626" s="35">
        <f>IF(AQ626="2",BI626,0)</f>
        <v>0</v>
      </c>
      <c r="AH626" s="35">
        <f>IF(AQ626="0",BJ626,0)</f>
        <v>0</v>
      </c>
      <c r="AI626" s="77" t="s">
        <v>71</v>
      </c>
      <c r="AJ626" s="64">
        <f>IF(AN626=0,L626,0)</f>
        <v>0</v>
      </c>
      <c r="AK626" s="64">
        <f>IF(AN626=15,L626,0)</f>
        <v>0</v>
      </c>
      <c r="AL626" s="64">
        <f>IF(AN626=21,L626,0)</f>
        <v>2628</v>
      </c>
      <c r="AN626" s="35">
        <v>21</v>
      </c>
      <c r="AO626" s="35">
        <f>I626*0</f>
        <v>0</v>
      </c>
      <c r="AP626" s="35">
        <f>I626*(1-0)</f>
        <v>25</v>
      </c>
      <c r="AQ626" s="78" t="s">
        <v>112</v>
      </c>
      <c r="AV626" s="35">
        <f>AW626+AX626</f>
        <v>2628</v>
      </c>
      <c r="AW626" s="35">
        <f>H626*AO626</f>
        <v>0</v>
      </c>
      <c r="AX626" s="35">
        <f>H626*AP626</f>
        <v>2628</v>
      </c>
      <c r="AY626" s="80" t="s">
        <v>1684</v>
      </c>
      <c r="AZ626" s="80" t="s">
        <v>1762</v>
      </c>
      <c r="BA626" s="77" t="s">
        <v>1784</v>
      </c>
      <c r="BC626" s="35">
        <f>AW626+AX626</f>
        <v>2628</v>
      </c>
      <c r="BD626" s="35">
        <f>I626/(100-BE626)*100</f>
        <v>25</v>
      </c>
      <c r="BE626" s="35">
        <v>0</v>
      </c>
      <c r="BF626" s="35">
        <f>626</f>
        <v>626</v>
      </c>
      <c r="BH626" s="64">
        <f>H626*AO626</f>
        <v>0</v>
      </c>
      <c r="BI626" s="64">
        <f>H626*AP626</f>
        <v>2628</v>
      </c>
      <c r="BJ626" s="64">
        <f>H626*I626</f>
        <v>2628</v>
      </c>
      <c r="BK626" s="64" t="s">
        <v>1790</v>
      </c>
      <c r="BL626" s="35" t="s">
        <v>145</v>
      </c>
    </row>
    <row r="627" spans="1:64">
      <c r="A627" s="47" t="s">
        <v>616</v>
      </c>
      <c r="B627" s="55" t="s">
        <v>71</v>
      </c>
      <c r="C627" s="55" t="s">
        <v>1006</v>
      </c>
      <c r="D627" s="165" t="s">
        <v>1501</v>
      </c>
      <c r="E627" s="166"/>
      <c r="F627" s="166"/>
      <c r="G627" s="55" t="s">
        <v>1634</v>
      </c>
      <c r="H627" s="64">
        <v>26.28</v>
      </c>
      <c r="I627" s="64">
        <v>990</v>
      </c>
      <c r="J627" s="64">
        <f>H627*AO627</f>
        <v>0</v>
      </c>
      <c r="K627" s="64">
        <f>H627*AP627</f>
        <v>26017.200000000001</v>
      </c>
      <c r="L627" s="64">
        <f>H627*I627</f>
        <v>26017.200000000001</v>
      </c>
      <c r="M627" s="73" t="s">
        <v>1657</v>
      </c>
      <c r="N627" s="19"/>
      <c r="Z627" s="35">
        <f>IF(AQ627="5",BJ627,0)</f>
        <v>26017.200000000001</v>
      </c>
      <c r="AB627" s="35">
        <f>IF(AQ627="1",BH627,0)</f>
        <v>0</v>
      </c>
      <c r="AC627" s="35">
        <f>IF(AQ627="1",BI627,0)</f>
        <v>0</v>
      </c>
      <c r="AD627" s="35">
        <f>IF(AQ627="7",BH627,0)</f>
        <v>0</v>
      </c>
      <c r="AE627" s="35">
        <f>IF(AQ627="7",BI627,0)</f>
        <v>0</v>
      </c>
      <c r="AF627" s="35">
        <f>IF(AQ627="2",BH627,0)</f>
        <v>0</v>
      </c>
      <c r="AG627" s="35">
        <f>IF(AQ627="2",BI627,0)</f>
        <v>0</v>
      </c>
      <c r="AH627" s="35">
        <f>IF(AQ627="0",BJ627,0)</f>
        <v>0</v>
      </c>
      <c r="AI627" s="77" t="s">
        <v>71</v>
      </c>
      <c r="AJ627" s="64">
        <f>IF(AN627=0,L627,0)</f>
        <v>0</v>
      </c>
      <c r="AK627" s="64">
        <f>IF(AN627=15,L627,0)</f>
        <v>0</v>
      </c>
      <c r="AL627" s="64">
        <f>IF(AN627=21,L627,0)</f>
        <v>26017.200000000001</v>
      </c>
      <c r="AN627" s="35">
        <v>21</v>
      </c>
      <c r="AO627" s="35">
        <f>I627*0</f>
        <v>0</v>
      </c>
      <c r="AP627" s="35">
        <f>I627*(1-0)</f>
        <v>990</v>
      </c>
      <c r="AQ627" s="78" t="s">
        <v>112</v>
      </c>
      <c r="AV627" s="35">
        <f>AW627+AX627</f>
        <v>26017.200000000001</v>
      </c>
      <c r="AW627" s="35">
        <f>H627*AO627</f>
        <v>0</v>
      </c>
      <c r="AX627" s="35">
        <f>H627*AP627</f>
        <v>26017.200000000001</v>
      </c>
      <c r="AY627" s="80" t="s">
        <v>1684</v>
      </c>
      <c r="AZ627" s="80" t="s">
        <v>1762</v>
      </c>
      <c r="BA627" s="77" t="s">
        <v>1784</v>
      </c>
      <c r="BC627" s="35">
        <f>AW627+AX627</f>
        <v>26017.200000000001</v>
      </c>
      <c r="BD627" s="35">
        <f>I627/(100-BE627)*100</f>
        <v>990</v>
      </c>
      <c r="BE627" s="35">
        <v>0</v>
      </c>
      <c r="BF627" s="35">
        <f>627</f>
        <v>627</v>
      </c>
      <c r="BH627" s="64">
        <f>H627*AO627</f>
        <v>0</v>
      </c>
      <c r="BI627" s="64">
        <f>H627*AP627</f>
        <v>26017.200000000001</v>
      </c>
      <c r="BJ627" s="64">
        <f>H627*I627</f>
        <v>26017.200000000001</v>
      </c>
      <c r="BK627" s="64" t="s">
        <v>1790</v>
      </c>
      <c r="BL627" s="35" t="s">
        <v>145</v>
      </c>
    </row>
    <row r="628" spans="1:64">
      <c r="A628" s="46"/>
      <c r="B628" s="54" t="s">
        <v>71</v>
      </c>
      <c r="C628" s="54" t="s">
        <v>146</v>
      </c>
      <c r="D628" s="163" t="s">
        <v>197</v>
      </c>
      <c r="E628" s="164"/>
      <c r="F628" s="164"/>
      <c r="G628" s="61" t="s">
        <v>57</v>
      </c>
      <c r="H628" s="61" t="s">
        <v>57</v>
      </c>
      <c r="I628" s="61" t="s">
        <v>57</v>
      </c>
      <c r="J628" s="83">
        <f>SUM(J629:J633)</f>
        <v>92653.295624999999</v>
      </c>
      <c r="K628" s="83">
        <f>SUM(K629:K633)</f>
        <v>45610.227599999998</v>
      </c>
      <c r="L628" s="83">
        <f>SUM(L629:L633)</f>
        <v>138263.52322499998</v>
      </c>
      <c r="M628" s="72"/>
      <c r="N628" s="19"/>
      <c r="AI628" s="77" t="s">
        <v>71</v>
      </c>
      <c r="AS628" s="83">
        <f>SUM(AJ629:AJ633)</f>
        <v>0</v>
      </c>
      <c r="AT628" s="83">
        <f>SUM(AK629:AK633)</f>
        <v>0</v>
      </c>
      <c r="AU628" s="83">
        <f>SUM(AL629:AL633)</f>
        <v>138263.52322499998</v>
      </c>
    </row>
    <row r="629" spans="1:64">
      <c r="A629" s="47" t="s">
        <v>617</v>
      </c>
      <c r="B629" s="55" t="s">
        <v>71</v>
      </c>
      <c r="C629" s="55" t="s">
        <v>1033</v>
      </c>
      <c r="D629" s="165" t="s">
        <v>1536</v>
      </c>
      <c r="E629" s="166"/>
      <c r="F629" s="166"/>
      <c r="G629" s="55" t="s">
        <v>1632</v>
      </c>
      <c r="H629" s="64">
        <v>358.97750000000002</v>
      </c>
      <c r="I629" s="64">
        <v>124</v>
      </c>
      <c r="J629" s="64">
        <f>H629*AO629</f>
        <v>0</v>
      </c>
      <c r="K629" s="64">
        <f>H629*AP629</f>
        <v>44513.21</v>
      </c>
      <c r="L629" s="64">
        <f>H629*I629</f>
        <v>44513.21</v>
      </c>
      <c r="M629" s="73" t="s">
        <v>1657</v>
      </c>
      <c r="N629" s="19"/>
      <c r="Z629" s="35">
        <f>IF(AQ629="5",BJ629,0)</f>
        <v>0</v>
      </c>
      <c r="AB629" s="35">
        <f>IF(AQ629="1",BH629,0)</f>
        <v>0</v>
      </c>
      <c r="AC629" s="35">
        <f>IF(AQ629="1",BI629,0)</f>
        <v>0</v>
      </c>
      <c r="AD629" s="35">
        <f>IF(AQ629="7",BH629,0)</f>
        <v>0</v>
      </c>
      <c r="AE629" s="35">
        <f>IF(AQ629="7",BI629,0)</f>
        <v>44513.21</v>
      </c>
      <c r="AF629" s="35">
        <f>IF(AQ629="2",BH629,0)</f>
        <v>0</v>
      </c>
      <c r="AG629" s="35">
        <f>IF(AQ629="2",BI629,0)</f>
        <v>0</v>
      </c>
      <c r="AH629" s="35">
        <f>IF(AQ629="0",BJ629,0)</f>
        <v>0</v>
      </c>
      <c r="AI629" s="77" t="s">
        <v>71</v>
      </c>
      <c r="AJ629" s="64">
        <f>IF(AN629=0,L629,0)</f>
        <v>0</v>
      </c>
      <c r="AK629" s="64">
        <f>IF(AN629=15,L629,0)</f>
        <v>0</v>
      </c>
      <c r="AL629" s="64">
        <f>IF(AN629=21,L629,0)</f>
        <v>44513.21</v>
      </c>
      <c r="AN629" s="35">
        <v>21</v>
      </c>
      <c r="AO629" s="35">
        <f>I629*0</f>
        <v>0</v>
      </c>
      <c r="AP629" s="35">
        <f>I629*(1-0)</f>
        <v>124</v>
      </c>
      <c r="AQ629" s="78" t="s">
        <v>235</v>
      </c>
      <c r="AV629" s="35">
        <f>AW629+AX629</f>
        <v>44513.21</v>
      </c>
      <c r="AW629" s="35">
        <f>H629*AO629</f>
        <v>0</v>
      </c>
      <c r="AX629" s="35">
        <f>H629*AP629</f>
        <v>44513.21</v>
      </c>
      <c r="AY629" s="80" t="s">
        <v>1685</v>
      </c>
      <c r="AZ629" s="80" t="s">
        <v>1763</v>
      </c>
      <c r="BA629" s="77" t="s">
        <v>1784</v>
      </c>
      <c r="BC629" s="35">
        <f>AW629+AX629</f>
        <v>44513.21</v>
      </c>
      <c r="BD629" s="35">
        <f>I629/(100-BE629)*100</f>
        <v>124</v>
      </c>
      <c r="BE629" s="35">
        <v>0</v>
      </c>
      <c r="BF629" s="35">
        <f>629</f>
        <v>629</v>
      </c>
      <c r="BH629" s="64">
        <f>H629*AO629</f>
        <v>0</v>
      </c>
      <c r="BI629" s="64">
        <f>H629*AP629</f>
        <v>44513.21</v>
      </c>
      <c r="BJ629" s="64">
        <f>H629*I629</f>
        <v>44513.21</v>
      </c>
      <c r="BK629" s="64" t="s">
        <v>1790</v>
      </c>
      <c r="BL629" s="35">
        <v>713</v>
      </c>
    </row>
    <row r="630" spans="1:64">
      <c r="A630" s="48" t="s">
        <v>618</v>
      </c>
      <c r="B630" s="56" t="s">
        <v>71</v>
      </c>
      <c r="C630" s="56" t="s">
        <v>1034</v>
      </c>
      <c r="D630" s="170" t="s">
        <v>1537</v>
      </c>
      <c r="E630" s="171"/>
      <c r="F630" s="171"/>
      <c r="G630" s="56" t="s">
        <v>1632</v>
      </c>
      <c r="H630" s="65">
        <v>35.002000000000002</v>
      </c>
      <c r="I630" s="65">
        <v>127.5</v>
      </c>
      <c r="J630" s="65">
        <f>H630*AO630</f>
        <v>4462.7550000000001</v>
      </c>
      <c r="K630" s="65">
        <f>H630*AP630</f>
        <v>0</v>
      </c>
      <c r="L630" s="65">
        <f>H630*I630</f>
        <v>4462.7550000000001</v>
      </c>
      <c r="M630" s="74" t="s">
        <v>1657</v>
      </c>
      <c r="N630" s="19"/>
      <c r="Z630" s="35">
        <f>IF(AQ630="5",BJ630,0)</f>
        <v>0</v>
      </c>
      <c r="AB630" s="35">
        <f>IF(AQ630="1",BH630,0)</f>
        <v>0</v>
      </c>
      <c r="AC630" s="35">
        <f>IF(AQ630="1",BI630,0)</f>
        <v>0</v>
      </c>
      <c r="AD630" s="35">
        <f>IF(AQ630="7",BH630,0)</f>
        <v>4462.7550000000001</v>
      </c>
      <c r="AE630" s="35">
        <f>IF(AQ630="7",BI630,0)</f>
        <v>0</v>
      </c>
      <c r="AF630" s="35">
        <f>IF(AQ630="2",BH630,0)</f>
        <v>0</v>
      </c>
      <c r="AG630" s="35">
        <f>IF(AQ630="2",BI630,0)</f>
        <v>0</v>
      </c>
      <c r="AH630" s="35">
        <f>IF(AQ630="0",BJ630,0)</f>
        <v>0</v>
      </c>
      <c r="AI630" s="77" t="s">
        <v>71</v>
      </c>
      <c r="AJ630" s="65">
        <f>IF(AN630=0,L630,0)</f>
        <v>0</v>
      </c>
      <c r="AK630" s="65">
        <f>IF(AN630=15,L630,0)</f>
        <v>0</v>
      </c>
      <c r="AL630" s="65">
        <f>IF(AN630=21,L630,0)</f>
        <v>4462.7550000000001</v>
      </c>
      <c r="AN630" s="35">
        <v>21</v>
      </c>
      <c r="AO630" s="35">
        <f>I630*1</f>
        <v>127.5</v>
      </c>
      <c r="AP630" s="35">
        <f>I630*(1-1)</f>
        <v>0</v>
      </c>
      <c r="AQ630" s="79" t="s">
        <v>235</v>
      </c>
      <c r="AV630" s="35">
        <f>AW630+AX630</f>
        <v>4462.7550000000001</v>
      </c>
      <c r="AW630" s="35">
        <f>H630*AO630</f>
        <v>4462.7550000000001</v>
      </c>
      <c r="AX630" s="35">
        <f>H630*AP630</f>
        <v>0</v>
      </c>
      <c r="AY630" s="80" t="s">
        <v>1685</v>
      </c>
      <c r="AZ630" s="80" t="s">
        <v>1763</v>
      </c>
      <c r="BA630" s="77" t="s">
        <v>1784</v>
      </c>
      <c r="BC630" s="35">
        <f>AW630+AX630</f>
        <v>4462.7550000000001</v>
      </c>
      <c r="BD630" s="35">
        <f>I630/(100-BE630)*100</f>
        <v>127.49999999999999</v>
      </c>
      <c r="BE630" s="35">
        <v>0</v>
      </c>
      <c r="BF630" s="35">
        <f>630</f>
        <v>630</v>
      </c>
      <c r="BH630" s="65">
        <f>H630*AO630</f>
        <v>4462.7550000000001</v>
      </c>
      <c r="BI630" s="65">
        <f>H630*AP630</f>
        <v>0</v>
      </c>
      <c r="BJ630" s="65">
        <f>H630*I630</f>
        <v>4462.7550000000001</v>
      </c>
      <c r="BK630" s="65" t="s">
        <v>1642</v>
      </c>
      <c r="BL630" s="35">
        <v>713</v>
      </c>
    </row>
    <row r="631" spans="1:64">
      <c r="A631" s="48" t="s">
        <v>619</v>
      </c>
      <c r="B631" s="56" t="s">
        <v>71</v>
      </c>
      <c r="C631" s="56" t="s">
        <v>1035</v>
      </c>
      <c r="D631" s="170" t="s">
        <v>1538</v>
      </c>
      <c r="E631" s="171"/>
      <c r="F631" s="171"/>
      <c r="G631" s="56" t="s">
        <v>1632</v>
      </c>
      <c r="H631" s="65">
        <v>311.46224999999998</v>
      </c>
      <c r="I631" s="65">
        <v>234.5</v>
      </c>
      <c r="J631" s="65">
        <f>H631*AO631</f>
        <v>73037.897624999998</v>
      </c>
      <c r="K631" s="65">
        <f>H631*AP631</f>
        <v>0</v>
      </c>
      <c r="L631" s="65">
        <f>H631*I631</f>
        <v>73037.897624999998</v>
      </c>
      <c r="M631" s="74" t="s">
        <v>1657</v>
      </c>
      <c r="N631" s="19"/>
      <c r="Z631" s="35">
        <f>IF(AQ631="5",BJ631,0)</f>
        <v>0</v>
      </c>
      <c r="AB631" s="35">
        <f>IF(AQ631="1",BH631,0)</f>
        <v>0</v>
      </c>
      <c r="AC631" s="35">
        <f>IF(AQ631="1",BI631,0)</f>
        <v>0</v>
      </c>
      <c r="AD631" s="35">
        <f>IF(AQ631="7",BH631,0)</f>
        <v>73037.897624999998</v>
      </c>
      <c r="AE631" s="35">
        <f>IF(AQ631="7",BI631,0)</f>
        <v>0</v>
      </c>
      <c r="AF631" s="35">
        <f>IF(AQ631="2",BH631,0)</f>
        <v>0</v>
      </c>
      <c r="AG631" s="35">
        <f>IF(AQ631="2",BI631,0)</f>
        <v>0</v>
      </c>
      <c r="AH631" s="35">
        <f>IF(AQ631="0",BJ631,0)</f>
        <v>0</v>
      </c>
      <c r="AI631" s="77" t="s">
        <v>71</v>
      </c>
      <c r="AJ631" s="65">
        <f>IF(AN631=0,L631,0)</f>
        <v>0</v>
      </c>
      <c r="AK631" s="65">
        <f>IF(AN631=15,L631,0)</f>
        <v>0</v>
      </c>
      <c r="AL631" s="65">
        <f>IF(AN631=21,L631,0)</f>
        <v>73037.897624999998</v>
      </c>
      <c r="AN631" s="35">
        <v>21</v>
      </c>
      <c r="AO631" s="35">
        <f>I631*1</f>
        <v>234.5</v>
      </c>
      <c r="AP631" s="35">
        <f>I631*(1-1)</f>
        <v>0</v>
      </c>
      <c r="AQ631" s="79" t="s">
        <v>235</v>
      </c>
      <c r="AV631" s="35">
        <f>AW631+AX631</f>
        <v>73037.897624999998</v>
      </c>
      <c r="AW631" s="35">
        <f>H631*AO631</f>
        <v>73037.897624999998</v>
      </c>
      <c r="AX631" s="35">
        <f>H631*AP631</f>
        <v>0</v>
      </c>
      <c r="AY631" s="80" t="s">
        <v>1685</v>
      </c>
      <c r="AZ631" s="80" t="s">
        <v>1763</v>
      </c>
      <c r="BA631" s="77" t="s">
        <v>1784</v>
      </c>
      <c r="BC631" s="35">
        <f>AW631+AX631</f>
        <v>73037.897624999998</v>
      </c>
      <c r="BD631" s="35">
        <f>I631/(100-BE631)*100</f>
        <v>234.50000000000003</v>
      </c>
      <c r="BE631" s="35">
        <v>0</v>
      </c>
      <c r="BF631" s="35">
        <f>631</f>
        <v>631</v>
      </c>
      <c r="BH631" s="65">
        <f>H631*AO631</f>
        <v>73037.897624999998</v>
      </c>
      <c r="BI631" s="65">
        <f>H631*AP631</f>
        <v>0</v>
      </c>
      <c r="BJ631" s="65">
        <f>H631*I631</f>
        <v>73037.897624999998</v>
      </c>
      <c r="BK631" s="65" t="s">
        <v>1642</v>
      </c>
      <c r="BL631" s="35">
        <v>713</v>
      </c>
    </row>
    <row r="632" spans="1:64">
      <c r="A632" s="48" t="s">
        <v>620</v>
      </c>
      <c r="B632" s="56" t="s">
        <v>71</v>
      </c>
      <c r="C632" s="56" t="s">
        <v>1036</v>
      </c>
      <c r="D632" s="170" t="s">
        <v>1539</v>
      </c>
      <c r="E632" s="171"/>
      <c r="F632" s="171"/>
      <c r="G632" s="56" t="s">
        <v>1632</v>
      </c>
      <c r="H632" s="65">
        <v>48.411000000000001</v>
      </c>
      <c r="I632" s="65">
        <v>313</v>
      </c>
      <c r="J632" s="65">
        <f>H632*AO632</f>
        <v>15152.643</v>
      </c>
      <c r="K632" s="65">
        <f>H632*AP632</f>
        <v>0</v>
      </c>
      <c r="L632" s="65">
        <f>H632*I632</f>
        <v>15152.643</v>
      </c>
      <c r="M632" s="74" t="s">
        <v>1657</v>
      </c>
      <c r="N632" s="19"/>
      <c r="Z632" s="35">
        <f>IF(AQ632="5",BJ632,0)</f>
        <v>0</v>
      </c>
      <c r="AB632" s="35">
        <f>IF(AQ632="1",BH632,0)</f>
        <v>0</v>
      </c>
      <c r="AC632" s="35">
        <f>IF(AQ632="1",BI632,0)</f>
        <v>0</v>
      </c>
      <c r="AD632" s="35">
        <f>IF(AQ632="7",BH632,0)</f>
        <v>15152.643</v>
      </c>
      <c r="AE632" s="35">
        <f>IF(AQ632="7",BI632,0)</f>
        <v>0</v>
      </c>
      <c r="AF632" s="35">
        <f>IF(AQ632="2",BH632,0)</f>
        <v>0</v>
      </c>
      <c r="AG632" s="35">
        <f>IF(AQ632="2",BI632,0)</f>
        <v>0</v>
      </c>
      <c r="AH632" s="35">
        <f>IF(AQ632="0",BJ632,0)</f>
        <v>0</v>
      </c>
      <c r="AI632" s="77" t="s">
        <v>71</v>
      </c>
      <c r="AJ632" s="65">
        <f>IF(AN632=0,L632,0)</f>
        <v>0</v>
      </c>
      <c r="AK632" s="65">
        <f>IF(AN632=15,L632,0)</f>
        <v>0</v>
      </c>
      <c r="AL632" s="65">
        <f>IF(AN632=21,L632,0)</f>
        <v>15152.643</v>
      </c>
      <c r="AN632" s="35">
        <v>21</v>
      </c>
      <c r="AO632" s="35">
        <f>I632*1</f>
        <v>313</v>
      </c>
      <c r="AP632" s="35">
        <f>I632*(1-1)</f>
        <v>0</v>
      </c>
      <c r="AQ632" s="79" t="s">
        <v>235</v>
      </c>
      <c r="AV632" s="35">
        <f>AW632+AX632</f>
        <v>15152.643</v>
      </c>
      <c r="AW632" s="35">
        <f>H632*AO632</f>
        <v>15152.643</v>
      </c>
      <c r="AX632" s="35">
        <f>H632*AP632</f>
        <v>0</v>
      </c>
      <c r="AY632" s="80" t="s">
        <v>1685</v>
      </c>
      <c r="AZ632" s="80" t="s">
        <v>1763</v>
      </c>
      <c r="BA632" s="77" t="s">
        <v>1784</v>
      </c>
      <c r="BC632" s="35">
        <f>AW632+AX632</f>
        <v>15152.643</v>
      </c>
      <c r="BD632" s="35">
        <f>I632/(100-BE632)*100</f>
        <v>313</v>
      </c>
      <c r="BE632" s="35">
        <v>0</v>
      </c>
      <c r="BF632" s="35">
        <f>632</f>
        <v>632</v>
      </c>
      <c r="BH632" s="65">
        <f>H632*AO632</f>
        <v>15152.643</v>
      </c>
      <c r="BI632" s="65">
        <f>H632*AP632</f>
        <v>0</v>
      </c>
      <c r="BJ632" s="65">
        <f>H632*I632</f>
        <v>15152.643</v>
      </c>
      <c r="BK632" s="65" t="s">
        <v>1642</v>
      </c>
      <c r="BL632" s="35">
        <v>713</v>
      </c>
    </row>
    <row r="633" spans="1:64">
      <c r="A633" s="47" t="s">
        <v>621</v>
      </c>
      <c r="B633" s="55" t="s">
        <v>71</v>
      </c>
      <c r="C633" s="55" t="s">
        <v>822</v>
      </c>
      <c r="D633" s="165" t="s">
        <v>1226</v>
      </c>
      <c r="E633" s="166"/>
      <c r="F633" s="166"/>
      <c r="G633" s="55" t="s">
        <v>1634</v>
      </c>
      <c r="H633" s="64">
        <v>1.6672</v>
      </c>
      <c r="I633" s="64">
        <v>658</v>
      </c>
      <c r="J633" s="64">
        <f>H633*AO633</f>
        <v>0</v>
      </c>
      <c r="K633" s="64">
        <f>H633*AP633</f>
        <v>1097.0175999999999</v>
      </c>
      <c r="L633" s="64">
        <f>H633*I633</f>
        <v>1097.0175999999999</v>
      </c>
      <c r="M633" s="73" t="s">
        <v>1657</v>
      </c>
      <c r="N633" s="19"/>
      <c r="Z633" s="35">
        <f>IF(AQ633="5",BJ633,0)</f>
        <v>1097.0175999999999</v>
      </c>
      <c r="AB633" s="35">
        <f>IF(AQ633="1",BH633,0)</f>
        <v>0</v>
      </c>
      <c r="AC633" s="35">
        <f>IF(AQ633="1",BI633,0)</f>
        <v>0</v>
      </c>
      <c r="AD633" s="35">
        <f>IF(AQ633="7",BH633,0)</f>
        <v>0</v>
      </c>
      <c r="AE633" s="35">
        <f>IF(AQ633="7",BI633,0)</f>
        <v>0</v>
      </c>
      <c r="AF633" s="35">
        <f>IF(AQ633="2",BH633,0)</f>
        <v>0</v>
      </c>
      <c r="AG633" s="35">
        <f>IF(AQ633="2",BI633,0)</f>
        <v>0</v>
      </c>
      <c r="AH633" s="35">
        <f>IF(AQ633="0",BJ633,0)</f>
        <v>0</v>
      </c>
      <c r="AI633" s="77" t="s">
        <v>71</v>
      </c>
      <c r="AJ633" s="64">
        <f>IF(AN633=0,L633,0)</f>
        <v>0</v>
      </c>
      <c r="AK633" s="64">
        <f>IF(AN633=15,L633,0)</f>
        <v>0</v>
      </c>
      <c r="AL633" s="64">
        <f>IF(AN633=21,L633,0)</f>
        <v>1097.0175999999999</v>
      </c>
      <c r="AN633" s="35">
        <v>21</v>
      </c>
      <c r="AO633" s="35">
        <f>I633*0</f>
        <v>0</v>
      </c>
      <c r="AP633" s="35">
        <f>I633*(1-0)</f>
        <v>658</v>
      </c>
      <c r="AQ633" s="78" t="s">
        <v>112</v>
      </c>
      <c r="AV633" s="35">
        <f>AW633+AX633</f>
        <v>1097.0175999999999</v>
      </c>
      <c r="AW633" s="35">
        <f>H633*AO633</f>
        <v>0</v>
      </c>
      <c r="AX633" s="35">
        <f>H633*AP633</f>
        <v>1097.0175999999999</v>
      </c>
      <c r="AY633" s="80" t="s">
        <v>1685</v>
      </c>
      <c r="AZ633" s="80" t="s">
        <v>1763</v>
      </c>
      <c r="BA633" s="77" t="s">
        <v>1784</v>
      </c>
      <c r="BC633" s="35">
        <f>AW633+AX633</f>
        <v>1097.0175999999999</v>
      </c>
      <c r="BD633" s="35">
        <f>I633/(100-BE633)*100</f>
        <v>658</v>
      </c>
      <c r="BE633" s="35">
        <v>0</v>
      </c>
      <c r="BF633" s="35">
        <f>633</f>
        <v>633</v>
      </c>
      <c r="BH633" s="64">
        <f>H633*AO633</f>
        <v>0</v>
      </c>
      <c r="BI633" s="64">
        <f>H633*AP633</f>
        <v>1097.0175999999999</v>
      </c>
      <c r="BJ633" s="64">
        <f>H633*I633</f>
        <v>1097.0175999999999</v>
      </c>
      <c r="BK633" s="64" t="s">
        <v>1790</v>
      </c>
      <c r="BL633" s="35">
        <v>713</v>
      </c>
    </row>
    <row r="634" spans="1:64">
      <c r="A634" s="46"/>
      <c r="B634" s="54" t="s">
        <v>71</v>
      </c>
      <c r="C634" s="54" t="s">
        <v>151</v>
      </c>
      <c r="D634" s="163" t="s">
        <v>202</v>
      </c>
      <c r="E634" s="164"/>
      <c r="F634" s="164"/>
      <c r="G634" s="61" t="s">
        <v>57</v>
      </c>
      <c r="H634" s="61" t="s">
        <v>57</v>
      </c>
      <c r="I634" s="61" t="s">
        <v>57</v>
      </c>
      <c r="J634" s="83">
        <f>SUM(J635:J642)</f>
        <v>24505.360000000001</v>
      </c>
      <c r="K634" s="83">
        <f>SUM(K635:K642)</f>
        <v>135178.52414000002</v>
      </c>
      <c r="L634" s="83">
        <f>SUM(L635:L642)</f>
        <v>159683.88414000001</v>
      </c>
      <c r="M634" s="72"/>
      <c r="N634" s="19"/>
      <c r="AI634" s="77" t="s">
        <v>71</v>
      </c>
      <c r="AS634" s="83">
        <f>SUM(AJ635:AJ642)</f>
        <v>0</v>
      </c>
      <c r="AT634" s="83">
        <f>SUM(AK635:AK642)</f>
        <v>0</v>
      </c>
      <c r="AU634" s="83">
        <f>SUM(AL635:AL642)</f>
        <v>159683.88414000001</v>
      </c>
    </row>
    <row r="635" spans="1:64">
      <c r="A635" s="47" t="s">
        <v>622</v>
      </c>
      <c r="B635" s="55" t="s">
        <v>71</v>
      </c>
      <c r="C635" s="55" t="s">
        <v>1037</v>
      </c>
      <c r="D635" s="165" t="s">
        <v>1540</v>
      </c>
      <c r="E635" s="166"/>
      <c r="F635" s="166"/>
      <c r="G635" s="55" t="s">
        <v>1632</v>
      </c>
      <c r="H635" s="64">
        <v>407.4</v>
      </c>
      <c r="I635" s="64">
        <v>18</v>
      </c>
      <c r="J635" s="64">
        <f t="shared" ref="J635:J642" si="400">H635*AO635</f>
        <v>0</v>
      </c>
      <c r="K635" s="64">
        <f t="shared" ref="K635:K642" si="401">H635*AP635</f>
        <v>7333.2</v>
      </c>
      <c r="L635" s="64">
        <f t="shared" ref="L635:L642" si="402">H635*I635</f>
        <v>7333.2</v>
      </c>
      <c r="M635" s="73" t="s">
        <v>1657</v>
      </c>
      <c r="N635" s="19"/>
      <c r="Z635" s="35">
        <f t="shared" ref="Z635:Z642" si="403">IF(AQ635="5",BJ635,0)</f>
        <v>0</v>
      </c>
      <c r="AB635" s="35">
        <f t="shared" ref="AB635:AB642" si="404">IF(AQ635="1",BH635,0)</f>
        <v>0</v>
      </c>
      <c r="AC635" s="35">
        <f t="shared" ref="AC635:AC642" si="405">IF(AQ635="1",BI635,0)</f>
        <v>0</v>
      </c>
      <c r="AD635" s="35">
        <f t="shared" ref="AD635:AD642" si="406">IF(AQ635="7",BH635,0)</f>
        <v>0</v>
      </c>
      <c r="AE635" s="35">
        <f t="shared" ref="AE635:AE642" si="407">IF(AQ635="7",BI635,0)</f>
        <v>7333.2</v>
      </c>
      <c r="AF635" s="35">
        <f t="shared" ref="AF635:AF642" si="408">IF(AQ635="2",BH635,0)</f>
        <v>0</v>
      </c>
      <c r="AG635" s="35">
        <f t="shared" ref="AG635:AG642" si="409">IF(AQ635="2",BI635,0)</f>
        <v>0</v>
      </c>
      <c r="AH635" s="35">
        <f t="shared" ref="AH635:AH642" si="410">IF(AQ635="0",BJ635,0)</f>
        <v>0</v>
      </c>
      <c r="AI635" s="77" t="s">
        <v>71</v>
      </c>
      <c r="AJ635" s="64">
        <f t="shared" ref="AJ635:AJ642" si="411">IF(AN635=0,L635,0)</f>
        <v>0</v>
      </c>
      <c r="AK635" s="64">
        <f t="shared" ref="AK635:AK642" si="412">IF(AN635=15,L635,0)</f>
        <v>0</v>
      </c>
      <c r="AL635" s="64">
        <f t="shared" ref="AL635:AL642" si="413">IF(AN635=21,L635,0)</f>
        <v>7333.2</v>
      </c>
      <c r="AN635" s="35">
        <v>21</v>
      </c>
      <c r="AO635" s="35">
        <f>I635*0</f>
        <v>0</v>
      </c>
      <c r="AP635" s="35">
        <f>I635*(1-0)</f>
        <v>18</v>
      </c>
      <c r="AQ635" s="78" t="s">
        <v>235</v>
      </c>
      <c r="AV635" s="35">
        <f t="shared" ref="AV635:AV642" si="414">AW635+AX635</f>
        <v>7333.2</v>
      </c>
      <c r="AW635" s="35">
        <f t="shared" ref="AW635:AW642" si="415">H635*AO635</f>
        <v>0</v>
      </c>
      <c r="AX635" s="35">
        <f t="shared" ref="AX635:AX642" si="416">H635*AP635</f>
        <v>7333.2</v>
      </c>
      <c r="AY635" s="80" t="s">
        <v>1690</v>
      </c>
      <c r="AZ635" s="80" t="s">
        <v>1763</v>
      </c>
      <c r="BA635" s="77" t="s">
        <v>1784</v>
      </c>
      <c r="BC635" s="35">
        <f t="shared" ref="BC635:BC642" si="417">AW635+AX635</f>
        <v>7333.2</v>
      </c>
      <c r="BD635" s="35">
        <f t="shared" ref="BD635:BD642" si="418">I635/(100-BE635)*100</f>
        <v>18</v>
      </c>
      <c r="BE635" s="35">
        <v>0</v>
      </c>
      <c r="BF635" s="35">
        <f>635</f>
        <v>635</v>
      </c>
      <c r="BH635" s="64">
        <f t="shared" ref="BH635:BH642" si="419">H635*AO635</f>
        <v>0</v>
      </c>
      <c r="BI635" s="64">
        <f t="shared" ref="BI635:BI642" si="420">H635*AP635</f>
        <v>7333.2</v>
      </c>
      <c r="BJ635" s="64">
        <f t="shared" ref="BJ635:BJ642" si="421">H635*I635</f>
        <v>7333.2</v>
      </c>
      <c r="BK635" s="64" t="s">
        <v>1790</v>
      </c>
      <c r="BL635" s="35">
        <v>711</v>
      </c>
    </row>
    <row r="636" spans="1:64">
      <c r="A636" s="48" t="s">
        <v>623</v>
      </c>
      <c r="B636" s="56" t="s">
        <v>71</v>
      </c>
      <c r="C636" s="56" t="s">
        <v>1038</v>
      </c>
      <c r="D636" s="170" t="s">
        <v>1541</v>
      </c>
      <c r="E636" s="171"/>
      <c r="F636" s="171"/>
      <c r="G636" s="56" t="s">
        <v>1637</v>
      </c>
      <c r="H636" s="65">
        <v>162.96</v>
      </c>
      <c r="I636" s="65">
        <v>41</v>
      </c>
      <c r="J636" s="65">
        <f t="shared" si="400"/>
        <v>6681.3600000000006</v>
      </c>
      <c r="K636" s="65">
        <f t="shared" si="401"/>
        <v>0</v>
      </c>
      <c r="L636" s="65">
        <f t="shared" si="402"/>
        <v>6681.3600000000006</v>
      </c>
      <c r="M636" s="74" t="s">
        <v>1657</v>
      </c>
      <c r="N636" s="19"/>
      <c r="Z636" s="35">
        <f t="shared" si="403"/>
        <v>0</v>
      </c>
      <c r="AB636" s="35">
        <f t="shared" si="404"/>
        <v>0</v>
      </c>
      <c r="AC636" s="35">
        <f t="shared" si="405"/>
        <v>0</v>
      </c>
      <c r="AD636" s="35">
        <f t="shared" si="406"/>
        <v>6681.3600000000006</v>
      </c>
      <c r="AE636" s="35">
        <f t="shared" si="407"/>
        <v>0</v>
      </c>
      <c r="AF636" s="35">
        <f t="shared" si="408"/>
        <v>0</v>
      </c>
      <c r="AG636" s="35">
        <f t="shared" si="409"/>
        <v>0</v>
      </c>
      <c r="AH636" s="35">
        <f t="shared" si="410"/>
        <v>0</v>
      </c>
      <c r="AI636" s="77" t="s">
        <v>71</v>
      </c>
      <c r="AJ636" s="65">
        <f t="shared" si="411"/>
        <v>0</v>
      </c>
      <c r="AK636" s="65">
        <f t="shared" si="412"/>
        <v>0</v>
      </c>
      <c r="AL636" s="65">
        <f t="shared" si="413"/>
        <v>6681.3600000000006</v>
      </c>
      <c r="AN636" s="35">
        <v>21</v>
      </c>
      <c r="AO636" s="35">
        <f>I636*1</f>
        <v>41</v>
      </c>
      <c r="AP636" s="35">
        <f>I636*(1-1)</f>
        <v>0</v>
      </c>
      <c r="AQ636" s="79" t="s">
        <v>235</v>
      </c>
      <c r="AV636" s="35">
        <f t="shared" si="414"/>
        <v>6681.3600000000006</v>
      </c>
      <c r="AW636" s="35">
        <f t="shared" si="415"/>
        <v>6681.3600000000006</v>
      </c>
      <c r="AX636" s="35">
        <f t="shared" si="416"/>
        <v>0</v>
      </c>
      <c r="AY636" s="80" t="s">
        <v>1690</v>
      </c>
      <c r="AZ636" s="80" t="s">
        <v>1763</v>
      </c>
      <c r="BA636" s="77" t="s">
        <v>1784</v>
      </c>
      <c r="BC636" s="35">
        <f t="shared" si="417"/>
        <v>6681.3600000000006</v>
      </c>
      <c r="BD636" s="35">
        <f t="shared" si="418"/>
        <v>41</v>
      </c>
      <c r="BE636" s="35">
        <v>0</v>
      </c>
      <c r="BF636" s="35">
        <f>636</f>
        <v>636</v>
      </c>
      <c r="BH636" s="65">
        <f t="shared" si="419"/>
        <v>6681.3600000000006</v>
      </c>
      <c r="BI636" s="65">
        <f t="shared" si="420"/>
        <v>0</v>
      </c>
      <c r="BJ636" s="65">
        <f t="shared" si="421"/>
        <v>6681.3600000000006</v>
      </c>
      <c r="BK636" s="65" t="s">
        <v>1642</v>
      </c>
      <c r="BL636" s="35">
        <v>711</v>
      </c>
    </row>
    <row r="637" spans="1:64">
      <c r="A637" s="47" t="s">
        <v>624</v>
      </c>
      <c r="B637" s="55" t="s">
        <v>71</v>
      </c>
      <c r="C637" s="55" t="s">
        <v>1039</v>
      </c>
      <c r="D637" s="165" t="s">
        <v>1542</v>
      </c>
      <c r="E637" s="166"/>
      <c r="F637" s="166"/>
      <c r="G637" s="55" t="s">
        <v>1632</v>
      </c>
      <c r="H637" s="64">
        <v>291</v>
      </c>
      <c r="I637" s="64">
        <v>156</v>
      </c>
      <c r="J637" s="64">
        <f t="shared" si="400"/>
        <v>0</v>
      </c>
      <c r="K637" s="64">
        <f t="shared" si="401"/>
        <v>45396</v>
      </c>
      <c r="L637" s="64">
        <f t="shared" si="402"/>
        <v>45396</v>
      </c>
      <c r="M637" s="73" t="s">
        <v>1657</v>
      </c>
      <c r="N637" s="19"/>
      <c r="Z637" s="35">
        <f t="shared" si="403"/>
        <v>0</v>
      </c>
      <c r="AB637" s="35">
        <f t="shared" si="404"/>
        <v>0</v>
      </c>
      <c r="AC637" s="35">
        <f t="shared" si="405"/>
        <v>0</v>
      </c>
      <c r="AD637" s="35">
        <f t="shared" si="406"/>
        <v>0</v>
      </c>
      <c r="AE637" s="35">
        <f t="shared" si="407"/>
        <v>45396</v>
      </c>
      <c r="AF637" s="35">
        <f t="shared" si="408"/>
        <v>0</v>
      </c>
      <c r="AG637" s="35">
        <f t="shared" si="409"/>
        <v>0</v>
      </c>
      <c r="AH637" s="35">
        <f t="shared" si="410"/>
        <v>0</v>
      </c>
      <c r="AI637" s="77" t="s">
        <v>71</v>
      </c>
      <c r="AJ637" s="64">
        <f t="shared" si="411"/>
        <v>0</v>
      </c>
      <c r="AK637" s="64">
        <f t="shared" si="412"/>
        <v>0</v>
      </c>
      <c r="AL637" s="64">
        <f t="shared" si="413"/>
        <v>45396</v>
      </c>
      <c r="AN637" s="35">
        <v>21</v>
      </c>
      <c r="AO637" s="35">
        <f>I637*0</f>
        <v>0</v>
      </c>
      <c r="AP637" s="35">
        <f>I637*(1-0)</f>
        <v>156</v>
      </c>
      <c r="AQ637" s="78" t="s">
        <v>235</v>
      </c>
      <c r="AV637" s="35">
        <f t="shared" si="414"/>
        <v>45396</v>
      </c>
      <c r="AW637" s="35">
        <f t="shared" si="415"/>
        <v>0</v>
      </c>
      <c r="AX637" s="35">
        <f t="shared" si="416"/>
        <v>45396</v>
      </c>
      <c r="AY637" s="80" t="s">
        <v>1690</v>
      </c>
      <c r="AZ637" s="80" t="s">
        <v>1763</v>
      </c>
      <c r="BA637" s="77" t="s">
        <v>1784</v>
      </c>
      <c r="BC637" s="35">
        <f t="shared" si="417"/>
        <v>45396</v>
      </c>
      <c r="BD637" s="35">
        <f t="shared" si="418"/>
        <v>156</v>
      </c>
      <c r="BE637" s="35">
        <v>0</v>
      </c>
      <c r="BF637" s="35">
        <f>637</f>
        <v>637</v>
      </c>
      <c r="BH637" s="64">
        <f t="shared" si="419"/>
        <v>0</v>
      </c>
      <c r="BI637" s="64">
        <f t="shared" si="420"/>
        <v>45396</v>
      </c>
      <c r="BJ637" s="64">
        <f t="shared" si="421"/>
        <v>45396</v>
      </c>
      <c r="BK637" s="64" t="s">
        <v>1790</v>
      </c>
      <c r="BL637" s="35">
        <v>711</v>
      </c>
    </row>
    <row r="638" spans="1:64">
      <c r="A638" s="47" t="s">
        <v>625</v>
      </c>
      <c r="B638" s="55" t="s">
        <v>71</v>
      </c>
      <c r="C638" s="55" t="s">
        <v>1040</v>
      </c>
      <c r="D638" s="165" t="s">
        <v>1543</v>
      </c>
      <c r="E638" s="166"/>
      <c r="F638" s="166"/>
      <c r="G638" s="55" t="s">
        <v>1632</v>
      </c>
      <c r="H638" s="64">
        <v>814.8</v>
      </c>
      <c r="I638" s="64">
        <v>95</v>
      </c>
      <c r="J638" s="64">
        <f t="shared" si="400"/>
        <v>0</v>
      </c>
      <c r="K638" s="64">
        <f t="shared" si="401"/>
        <v>77406</v>
      </c>
      <c r="L638" s="64">
        <f t="shared" si="402"/>
        <v>77406</v>
      </c>
      <c r="M638" s="73" t="s">
        <v>1657</v>
      </c>
      <c r="N638" s="19"/>
      <c r="Z638" s="35">
        <f t="shared" si="403"/>
        <v>0</v>
      </c>
      <c r="AB638" s="35">
        <f t="shared" si="404"/>
        <v>0</v>
      </c>
      <c r="AC638" s="35">
        <f t="shared" si="405"/>
        <v>0</v>
      </c>
      <c r="AD638" s="35">
        <f t="shared" si="406"/>
        <v>0</v>
      </c>
      <c r="AE638" s="35">
        <f t="shared" si="407"/>
        <v>77406</v>
      </c>
      <c r="AF638" s="35">
        <f t="shared" si="408"/>
        <v>0</v>
      </c>
      <c r="AG638" s="35">
        <f t="shared" si="409"/>
        <v>0</v>
      </c>
      <c r="AH638" s="35">
        <f t="shared" si="410"/>
        <v>0</v>
      </c>
      <c r="AI638" s="77" t="s">
        <v>71</v>
      </c>
      <c r="AJ638" s="64">
        <f t="shared" si="411"/>
        <v>0</v>
      </c>
      <c r="AK638" s="64">
        <f t="shared" si="412"/>
        <v>0</v>
      </c>
      <c r="AL638" s="64">
        <f t="shared" si="413"/>
        <v>77406</v>
      </c>
      <c r="AN638" s="35">
        <v>21</v>
      </c>
      <c r="AO638" s="35">
        <f>I638*0</f>
        <v>0</v>
      </c>
      <c r="AP638" s="35">
        <f>I638*(1-0)</f>
        <v>95</v>
      </c>
      <c r="AQ638" s="78" t="s">
        <v>235</v>
      </c>
      <c r="AV638" s="35">
        <f t="shared" si="414"/>
        <v>77406</v>
      </c>
      <c r="AW638" s="35">
        <f t="shared" si="415"/>
        <v>0</v>
      </c>
      <c r="AX638" s="35">
        <f t="shared" si="416"/>
        <v>77406</v>
      </c>
      <c r="AY638" s="80" t="s">
        <v>1690</v>
      </c>
      <c r="AZ638" s="80" t="s">
        <v>1763</v>
      </c>
      <c r="BA638" s="77" t="s">
        <v>1784</v>
      </c>
      <c r="BC638" s="35">
        <f t="shared" si="417"/>
        <v>77406</v>
      </c>
      <c r="BD638" s="35">
        <f t="shared" si="418"/>
        <v>95</v>
      </c>
      <c r="BE638" s="35">
        <v>0</v>
      </c>
      <c r="BF638" s="35">
        <f>638</f>
        <v>638</v>
      </c>
      <c r="BH638" s="64">
        <f t="shared" si="419"/>
        <v>0</v>
      </c>
      <c r="BI638" s="64">
        <f t="shared" si="420"/>
        <v>77406</v>
      </c>
      <c r="BJ638" s="64">
        <f t="shared" si="421"/>
        <v>77406</v>
      </c>
      <c r="BK638" s="64" t="s">
        <v>1790</v>
      </c>
      <c r="BL638" s="35">
        <v>711</v>
      </c>
    </row>
    <row r="639" spans="1:64">
      <c r="A639" s="47" t="s">
        <v>626</v>
      </c>
      <c r="B639" s="55" t="s">
        <v>71</v>
      </c>
      <c r="C639" s="55" t="s">
        <v>1041</v>
      </c>
      <c r="D639" s="165" t="s">
        <v>1544</v>
      </c>
      <c r="E639" s="166"/>
      <c r="F639" s="166"/>
      <c r="G639" s="55" t="s">
        <v>1631</v>
      </c>
      <c r="H639" s="64">
        <v>8</v>
      </c>
      <c r="I639" s="64">
        <v>220</v>
      </c>
      <c r="J639" s="64">
        <f t="shared" si="400"/>
        <v>0</v>
      </c>
      <c r="K639" s="64">
        <f t="shared" si="401"/>
        <v>1760</v>
      </c>
      <c r="L639" s="64">
        <f t="shared" si="402"/>
        <v>1760</v>
      </c>
      <c r="M639" s="73" t="s">
        <v>1657</v>
      </c>
      <c r="N639" s="19"/>
      <c r="Z639" s="35">
        <f t="shared" si="403"/>
        <v>0</v>
      </c>
      <c r="AB639" s="35">
        <f t="shared" si="404"/>
        <v>0</v>
      </c>
      <c r="AC639" s="35">
        <f t="shared" si="405"/>
        <v>0</v>
      </c>
      <c r="AD639" s="35">
        <f t="shared" si="406"/>
        <v>0</v>
      </c>
      <c r="AE639" s="35">
        <f t="shared" si="407"/>
        <v>1760</v>
      </c>
      <c r="AF639" s="35">
        <f t="shared" si="408"/>
        <v>0</v>
      </c>
      <c r="AG639" s="35">
        <f t="shared" si="409"/>
        <v>0</v>
      </c>
      <c r="AH639" s="35">
        <f t="shared" si="410"/>
        <v>0</v>
      </c>
      <c r="AI639" s="77" t="s">
        <v>71</v>
      </c>
      <c r="AJ639" s="64">
        <f t="shared" si="411"/>
        <v>0</v>
      </c>
      <c r="AK639" s="64">
        <f t="shared" si="412"/>
        <v>0</v>
      </c>
      <c r="AL639" s="64">
        <f t="shared" si="413"/>
        <v>1760</v>
      </c>
      <c r="AN639" s="35">
        <v>21</v>
      </c>
      <c r="AO639" s="35">
        <f>I639*0</f>
        <v>0</v>
      </c>
      <c r="AP639" s="35">
        <f>I639*(1-0)</f>
        <v>220</v>
      </c>
      <c r="AQ639" s="78" t="s">
        <v>235</v>
      </c>
      <c r="AV639" s="35">
        <f t="shared" si="414"/>
        <v>1760</v>
      </c>
      <c r="AW639" s="35">
        <f t="shared" si="415"/>
        <v>0</v>
      </c>
      <c r="AX639" s="35">
        <f t="shared" si="416"/>
        <v>1760</v>
      </c>
      <c r="AY639" s="80" t="s">
        <v>1690</v>
      </c>
      <c r="AZ639" s="80" t="s">
        <v>1763</v>
      </c>
      <c r="BA639" s="77" t="s">
        <v>1784</v>
      </c>
      <c r="BC639" s="35">
        <f t="shared" si="417"/>
        <v>1760</v>
      </c>
      <c r="BD639" s="35">
        <f t="shared" si="418"/>
        <v>220.00000000000003</v>
      </c>
      <c r="BE639" s="35">
        <v>0</v>
      </c>
      <c r="BF639" s="35">
        <f>639</f>
        <v>639</v>
      </c>
      <c r="BH639" s="64">
        <f t="shared" si="419"/>
        <v>0</v>
      </c>
      <c r="BI639" s="64">
        <f t="shared" si="420"/>
        <v>1760</v>
      </c>
      <c r="BJ639" s="64">
        <f t="shared" si="421"/>
        <v>1760</v>
      </c>
      <c r="BK639" s="64" t="s">
        <v>1790</v>
      </c>
      <c r="BL639" s="35">
        <v>711</v>
      </c>
    </row>
    <row r="640" spans="1:64">
      <c r="A640" s="48" t="s">
        <v>627</v>
      </c>
      <c r="B640" s="56" t="s">
        <v>71</v>
      </c>
      <c r="C640" s="56" t="s">
        <v>1042</v>
      </c>
      <c r="D640" s="170" t="s">
        <v>1545</v>
      </c>
      <c r="E640" s="171"/>
      <c r="F640" s="171"/>
      <c r="G640" s="56" t="s">
        <v>1631</v>
      </c>
      <c r="H640" s="65">
        <v>3</v>
      </c>
      <c r="I640" s="65">
        <v>2023</v>
      </c>
      <c r="J640" s="65">
        <f t="shared" si="400"/>
        <v>6069</v>
      </c>
      <c r="K640" s="65">
        <f t="shared" si="401"/>
        <v>0</v>
      </c>
      <c r="L640" s="65">
        <f t="shared" si="402"/>
        <v>6069</v>
      </c>
      <c r="M640" s="74" t="s">
        <v>1657</v>
      </c>
      <c r="N640" s="19"/>
      <c r="Z640" s="35">
        <f t="shared" si="403"/>
        <v>0</v>
      </c>
      <c r="AB640" s="35">
        <f t="shared" si="404"/>
        <v>0</v>
      </c>
      <c r="AC640" s="35">
        <f t="shared" si="405"/>
        <v>0</v>
      </c>
      <c r="AD640" s="35">
        <f t="shared" si="406"/>
        <v>6069</v>
      </c>
      <c r="AE640" s="35">
        <f t="shared" si="407"/>
        <v>0</v>
      </c>
      <c r="AF640" s="35">
        <f t="shared" si="408"/>
        <v>0</v>
      </c>
      <c r="AG640" s="35">
        <f t="shared" si="409"/>
        <v>0</v>
      </c>
      <c r="AH640" s="35">
        <f t="shared" si="410"/>
        <v>0</v>
      </c>
      <c r="AI640" s="77" t="s">
        <v>71</v>
      </c>
      <c r="AJ640" s="65">
        <f t="shared" si="411"/>
        <v>0</v>
      </c>
      <c r="AK640" s="65">
        <f t="shared" si="412"/>
        <v>0</v>
      </c>
      <c r="AL640" s="65">
        <f t="shared" si="413"/>
        <v>6069</v>
      </c>
      <c r="AN640" s="35">
        <v>21</v>
      </c>
      <c r="AO640" s="35">
        <f>I640*1</f>
        <v>2023</v>
      </c>
      <c r="AP640" s="35">
        <f>I640*(1-1)</f>
        <v>0</v>
      </c>
      <c r="AQ640" s="79" t="s">
        <v>235</v>
      </c>
      <c r="AV640" s="35">
        <f t="shared" si="414"/>
        <v>6069</v>
      </c>
      <c r="AW640" s="35">
        <f t="shared" si="415"/>
        <v>6069</v>
      </c>
      <c r="AX640" s="35">
        <f t="shared" si="416"/>
        <v>0</v>
      </c>
      <c r="AY640" s="80" t="s">
        <v>1690</v>
      </c>
      <c r="AZ640" s="80" t="s">
        <v>1763</v>
      </c>
      <c r="BA640" s="77" t="s">
        <v>1784</v>
      </c>
      <c r="BC640" s="35">
        <f t="shared" si="417"/>
        <v>6069</v>
      </c>
      <c r="BD640" s="35">
        <f t="shared" si="418"/>
        <v>2023</v>
      </c>
      <c r="BE640" s="35">
        <v>0</v>
      </c>
      <c r="BF640" s="35">
        <f>640</f>
        <v>640</v>
      </c>
      <c r="BH640" s="65">
        <f t="shared" si="419"/>
        <v>6069</v>
      </c>
      <c r="BI640" s="65">
        <f t="shared" si="420"/>
        <v>0</v>
      </c>
      <c r="BJ640" s="65">
        <f t="shared" si="421"/>
        <v>6069</v>
      </c>
      <c r="BK640" s="65" t="s">
        <v>1642</v>
      </c>
      <c r="BL640" s="35">
        <v>711</v>
      </c>
    </row>
    <row r="641" spans="1:64">
      <c r="A641" s="48" t="s">
        <v>628</v>
      </c>
      <c r="B641" s="56" t="s">
        <v>71</v>
      </c>
      <c r="C641" s="56" t="s">
        <v>1043</v>
      </c>
      <c r="D641" s="170" t="s">
        <v>1546</v>
      </c>
      <c r="E641" s="171"/>
      <c r="F641" s="171"/>
      <c r="G641" s="56" t="s">
        <v>1631</v>
      </c>
      <c r="H641" s="65">
        <v>5</v>
      </c>
      <c r="I641" s="65">
        <v>2351</v>
      </c>
      <c r="J641" s="65">
        <f t="shared" si="400"/>
        <v>11755</v>
      </c>
      <c r="K641" s="65">
        <f t="shared" si="401"/>
        <v>0</v>
      </c>
      <c r="L641" s="65">
        <f t="shared" si="402"/>
        <v>11755</v>
      </c>
      <c r="M641" s="74" t="s">
        <v>1657</v>
      </c>
      <c r="N641" s="19"/>
      <c r="Z641" s="35">
        <f t="shared" si="403"/>
        <v>0</v>
      </c>
      <c r="AB641" s="35">
        <f t="shared" si="404"/>
        <v>0</v>
      </c>
      <c r="AC641" s="35">
        <f t="shared" si="405"/>
        <v>0</v>
      </c>
      <c r="AD641" s="35">
        <f t="shared" si="406"/>
        <v>11755</v>
      </c>
      <c r="AE641" s="35">
        <f t="shared" si="407"/>
        <v>0</v>
      </c>
      <c r="AF641" s="35">
        <f t="shared" si="408"/>
        <v>0</v>
      </c>
      <c r="AG641" s="35">
        <f t="shared" si="409"/>
        <v>0</v>
      </c>
      <c r="AH641" s="35">
        <f t="shared" si="410"/>
        <v>0</v>
      </c>
      <c r="AI641" s="77" t="s">
        <v>71</v>
      </c>
      <c r="AJ641" s="65">
        <f t="shared" si="411"/>
        <v>0</v>
      </c>
      <c r="AK641" s="65">
        <f t="shared" si="412"/>
        <v>0</v>
      </c>
      <c r="AL641" s="65">
        <f t="shared" si="413"/>
        <v>11755</v>
      </c>
      <c r="AN641" s="35">
        <v>21</v>
      </c>
      <c r="AO641" s="35">
        <f>I641*1</f>
        <v>2351</v>
      </c>
      <c r="AP641" s="35">
        <f>I641*(1-1)</f>
        <v>0</v>
      </c>
      <c r="AQ641" s="79" t="s">
        <v>235</v>
      </c>
      <c r="AV641" s="35">
        <f t="shared" si="414"/>
        <v>11755</v>
      </c>
      <c r="AW641" s="35">
        <f t="shared" si="415"/>
        <v>11755</v>
      </c>
      <c r="AX641" s="35">
        <f t="shared" si="416"/>
        <v>0</v>
      </c>
      <c r="AY641" s="80" t="s">
        <v>1690</v>
      </c>
      <c r="AZ641" s="80" t="s">
        <v>1763</v>
      </c>
      <c r="BA641" s="77" t="s">
        <v>1784</v>
      </c>
      <c r="BC641" s="35">
        <f t="shared" si="417"/>
        <v>11755</v>
      </c>
      <c r="BD641" s="35">
        <f t="shared" si="418"/>
        <v>2351</v>
      </c>
      <c r="BE641" s="35">
        <v>0</v>
      </c>
      <c r="BF641" s="35">
        <f>641</f>
        <v>641</v>
      </c>
      <c r="BH641" s="65">
        <f t="shared" si="419"/>
        <v>11755</v>
      </c>
      <c r="BI641" s="65">
        <f t="shared" si="420"/>
        <v>0</v>
      </c>
      <c r="BJ641" s="65">
        <f t="shared" si="421"/>
        <v>11755</v>
      </c>
      <c r="BK641" s="65" t="s">
        <v>1642</v>
      </c>
      <c r="BL641" s="35">
        <v>711</v>
      </c>
    </row>
    <row r="642" spans="1:64">
      <c r="A642" s="47" t="s">
        <v>629</v>
      </c>
      <c r="B642" s="55" t="s">
        <v>71</v>
      </c>
      <c r="C642" s="55" t="s">
        <v>865</v>
      </c>
      <c r="D642" s="165" t="s">
        <v>1274</v>
      </c>
      <c r="E642" s="166"/>
      <c r="F642" s="166"/>
      <c r="G642" s="55" t="s">
        <v>1634</v>
      </c>
      <c r="H642" s="64">
        <v>4.7792199999999996</v>
      </c>
      <c r="I642" s="64">
        <v>687</v>
      </c>
      <c r="J642" s="64">
        <f t="shared" si="400"/>
        <v>0</v>
      </c>
      <c r="K642" s="64">
        <f t="shared" si="401"/>
        <v>3283.3241399999997</v>
      </c>
      <c r="L642" s="64">
        <f t="shared" si="402"/>
        <v>3283.3241399999997</v>
      </c>
      <c r="M642" s="73" t="s">
        <v>1657</v>
      </c>
      <c r="N642" s="19"/>
      <c r="Z642" s="35">
        <f t="shared" si="403"/>
        <v>3283.3241399999997</v>
      </c>
      <c r="AB642" s="35">
        <f t="shared" si="404"/>
        <v>0</v>
      </c>
      <c r="AC642" s="35">
        <f t="shared" si="405"/>
        <v>0</v>
      </c>
      <c r="AD642" s="35">
        <f t="shared" si="406"/>
        <v>0</v>
      </c>
      <c r="AE642" s="35">
        <f t="shared" si="407"/>
        <v>0</v>
      </c>
      <c r="AF642" s="35">
        <f t="shared" si="408"/>
        <v>0</v>
      </c>
      <c r="AG642" s="35">
        <f t="shared" si="409"/>
        <v>0</v>
      </c>
      <c r="AH642" s="35">
        <f t="shared" si="410"/>
        <v>0</v>
      </c>
      <c r="AI642" s="77" t="s">
        <v>71</v>
      </c>
      <c r="AJ642" s="64">
        <f t="shared" si="411"/>
        <v>0</v>
      </c>
      <c r="AK642" s="64">
        <f t="shared" si="412"/>
        <v>0</v>
      </c>
      <c r="AL642" s="64">
        <f t="shared" si="413"/>
        <v>3283.3241399999997</v>
      </c>
      <c r="AN642" s="35">
        <v>21</v>
      </c>
      <c r="AO642" s="35">
        <f>I642*0</f>
        <v>0</v>
      </c>
      <c r="AP642" s="35">
        <f>I642*(1-0)</f>
        <v>687</v>
      </c>
      <c r="AQ642" s="78" t="s">
        <v>112</v>
      </c>
      <c r="AV642" s="35">
        <f t="shared" si="414"/>
        <v>3283.3241399999997</v>
      </c>
      <c r="AW642" s="35">
        <f t="shared" si="415"/>
        <v>0</v>
      </c>
      <c r="AX642" s="35">
        <f t="shared" si="416"/>
        <v>3283.3241399999997</v>
      </c>
      <c r="AY642" s="80" t="s">
        <v>1690</v>
      </c>
      <c r="AZ642" s="80" t="s">
        <v>1763</v>
      </c>
      <c r="BA642" s="77" t="s">
        <v>1784</v>
      </c>
      <c r="BC642" s="35">
        <f t="shared" si="417"/>
        <v>3283.3241399999997</v>
      </c>
      <c r="BD642" s="35">
        <f t="shared" si="418"/>
        <v>687</v>
      </c>
      <c r="BE642" s="35">
        <v>0</v>
      </c>
      <c r="BF642" s="35">
        <f>642</f>
        <v>642</v>
      </c>
      <c r="BH642" s="64">
        <f t="shared" si="419"/>
        <v>0</v>
      </c>
      <c r="BI642" s="64">
        <f t="shared" si="420"/>
        <v>3283.3241399999997</v>
      </c>
      <c r="BJ642" s="64">
        <f t="shared" si="421"/>
        <v>3283.3241399999997</v>
      </c>
      <c r="BK642" s="64" t="s">
        <v>1790</v>
      </c>
      <c r="BL642" s="35">
        <v>711</v>
      </c>
    </row>
    <row r="643" spans="1:64">
      <c r="A643" s="46"/>
      <c r="B643" s="54" t="s">
        <v>71</v>
      </c>
      <c r="C643" s="54" t="s">
        <v>154</v>
      </c>
      <c r="D643" s="163" t="s">
        <v>205</v>
      </c>
      <c r="E643" s="164"/>
      <c r="F643" s="164"/>
      <c r="G643" s="61" t="s">
        <v>57</v>
      </c>
      <c r="H643" s="61" t="s">
        <v>57</v>
      </c>
      <c r="I643" s="61" t="s">
        <v>57</v>
      </c>
      <c r="J643" s="83">
        <f>SUM(J644:J644)</f>
        <v>0</v>
      </c>
      <c r="K643" s="83">
        <f>SUM(K644:K644)</f>
        <v>105701.96520000001</v>
      </c>
      <c r="L643" s="83">
        <f>SUM(L644:L644)</f>
        <v>105701.96520000001</v>
      </c>
      <c r="M643" s="72"/>
      <c r="N643" s="19"/>
      <c r="AI643" s="77" t="s">
        <v>71</v>
      </c>
      <c r="AS643" s="83">
        <f>SUM(AJ644:AJ644)</f>
        <v>0</v>
      </c>
      <c r="AT643" s="83">
        <f>SUM(AK644:AK644)</f>
        <v>0</v>
      </c>
      <c r="AU643" s="83">
        <f>SUM(AL644:AL644)</f>
        <v>105701.96520000001</v>
      </c>
    </row>
    <row r="644" spans="1:64">
      <c r="A644" s="47" t="s">
        <v>630</v>
      </c>
      <c r="B644" s="55" t="s">
        <v>71</v>
      </c>
      <c r="C644" s="55" t="s">
        <v>792</v>
      </c>
      <c r="D644" s="165" t="s">
        <v>1195</v>
      </c>
      <c r="E644" s="166"/>
      <c r="F644" s="166"/>
      <c r="G644" s="55" t="s">
        <v>1634</v>
      </c>
      <c r="H644" s="64">
        <v>391.48876000000001</v>
      </c>
      <c r="I644" s="64">
        <v>270</v>
      </c>
      <c r="J644" s="64">
        <f>H644*AO644</f>
        <v>0</v>
      </c>
      <c r="K644" s="64">
        <f>H644*AP644</f>
        <v>105701.96520000001</v>
      </c>
      <c r="L644" s="64">
        <f>H644*I644</f>
        <v>105701.96520000001</v>
      </c>
      <c r="M644" s="73" t="s">
        <v>1657</v>
      </c>
      <c r="N644" s="19"/>
      <c r="Z644" s="35">
        <f>IF(AQ644="5",BJ644,0)</f>
        <v>105701.96520000001</v>
      </c>
      <c r="AB644" s="35">
        <f>IF(AQ644="1",BH644,0)</f>
        <v>0</v>
      </c>
      <c r="AC644" s="35">
        <f>IF(AQ644="1",BI644,0)</f>
        <v>0</v>
      </c>
      <c r="AD644" s="35">
        <f>IF(AQ644="7",BH644,0)</f>
        <v>0</v>
      </c>
      <c r="AE644" s="35">
        <f>IF(AQ644="7",BI644,0)</f>
        <v>0</v>
      </c>
      <c r="AF644" s="35">
        <f>IF(AQ644="2",BH644,0)</f>
        <v>0</v>
      </c>
      <c r="AG644" s="35">
        <f>IF(AQ644="2",BI644,0)</f>
        <v>0</v>
      </c>
      <c r="AH644" s="35">
        <f>IF(AQ644="0",BJ644,0)</f>
        <v>0</v>
      </c>
      <c r="AI644" s="77" t="s">
        <v>71</v>
      </c>
      <c r="AJ644" s="64">
        <f>IF(AN644=0,L644,0)</f>
        <v>0</v>
      </c>
      <c r="AK644" s="64">
        <f>IF(AN644=15,L644,0)</f>
        <v>0</v>
      </c>
      <c r="AL644" s="64">
        <f>IF(AN644=21,L644,0)</f>
        <v>105701.96520000001</v>
      </c>
      <c r="AN644" s="35">
        <v>21</v>
      </c>
      <c r="AO644" s="35">
        <f>I644*0</f>
        <v>0</v>
      </c>
      <c r="AP644" s="35">
        <f>I644*(1-0)</f>
        <v>270</v>
      </c>
      <c r="AQ644" s="78" t="s">
        <v>112</v>
      </c>
      <c r="AV644" s="35">
        <f>AW644+AX644</f>
        <v>105701.96520000001</v>
      </c>
      <c r="AW644" s="35">
        <f>H644*AO644</f>
        <v>0</v>
      </c>
      <c r="AX644" s="35">
        <f>H644*AP644</f>
        <v>105701.96520000001</v>
      </c>
      <c r="AY644" s="80" t="s">
        <v>1693</v>
      </c>
      <c r="AZ644" s="80" t="s">
        <v>1762</v>
      </c>
      <c r="BA644" s="77" t="s">
        <v>1784</v>
      </c>
      <c r="BC644" s="35">
        <f>AW644+AX644</f>
        <v>105701.96520000001</v>
      </c>
      <c r="BD644" s="35">
        <f>I644/(100-BE644)*100</f>
        <v>270</v>
      </c>
      <c r="BE644" s="35">
        <v>0</v>
      </c>
      <c r="BF644" s="35">
        <f>644</f>
        <v>644</v>
      </c>
      <c r="BH644" s="64">
        <f>H644*AO644</f>
        <v>0</v>
      </c>
      <c r="BI644" s="64">
        <f>H644*AP644</f>
        <v>105701.96520000001</v>
      </c>
      <c r="BJ644" s="64">
        <f>H644*I644</f>
        <v>105701.96520000001</v>
      </c>
      <c r="BK644" s="64" t="s">
        <v>1790</v>
      </c>
      <c r="BL644" s="35" t="s">
        <v>154</v>
      </c>
    </row>
    <row r="645" spans="1:64">
      <c r="A645" s="46"/>
      <c r="B645" s="54" t="s">
        <v>71</v>
      </c>
      <c r="C645" s="54" t="s">
        <v>164</v>
      </c>
      <c r="D645" s="163" t="s">
        <v>214</v>
      </c>
      <c r="E645" s="164"/>
      <c r="F645" s="164"/>
      <c r="G645" s="61" t="s">
        <v>57</v>
      </c>
      <c r="H645" s="61" t="s">
        <v>57</v>
      </c>
      <c r="I645" s="61" t="s">
        <v>57</v>
      </c>
      <c r="J645" s="83">
        <f>SUM(J646:J649)</f>
        <v>0</v>
      </c>
      <c r="K645" s="83">
        <f>SUM(K646:K649)</f>
        <v>96083.520000000004</v>
      </c>
      <c r="L645" s="83">
        <f>SUM(L646:L649)</f>
        <v>96083.520000000004</v>
      </c>
      <c r="M645" s="72"/>
      <c r="N645" s="19"/>
      <c r="AI645" s="77" t="s">
        <v>71</v>
      </c>
      <c r="AS645" s="83">
        <f>SUM(AJ646:AJ649)</f>
        <v>0</v>
      </c>
      <c r="AT645" s="83">
        <f>SUM(AK646:AK649)</f>
        <v>0</v>
      </c>
      <c r="AU645" s="83">
        <f>SUM(AL646:AL649)</f>
        <v>96083.520000000004</v>
      </c>
    </row>
    <row r="646" spans="1:64">
      <c r="A646" s="47" t="s">
        <v>631</v>
      </c>
      <c r="B646" s="55" t="s">
        <v>71</v>
      </c>
      <c r="C646" s="55" t="s">
        <v>1044</v>
      </c>
      <c r="D646" s="165" t="s">
        <v>1547</v>
      </c>
      <c r="E646" s="166"/>
      <c r="F646" s="166"/>
      <c r="G646" s="55" t="s">
        <v>1638</v>
      </c>
      <c r="H646" s="64">
        <v>6.72</v>
      </c>
      <c r="I646" s="64">
        <v>446</v>
      </c>
      <c r="J646" s="64">
        <f>H646*AO646</f>
        <v>0</v>
      </c>
      <c r="K646" s="64">
        <f>H646*AP646</f>
        <v>2997.12</v>
      </c>
      <c r="L646" s="64">
        <f>H646*I646</f>
        <v>2997.12</v>
      </c>
      <c r="M646" s="73" t="s">
        <v>1657</v>
      </c>
      <c r="N646" s="19"/>
      <c r="Z646" s="35">
        <f>IF(AQ646="5",BJ646,0)</f>
        <v>0</v>
      </c>
      <c r="AB646" s="35">
        <f>IF(AQ646="1",BH646,0)</f>
        <v>0</v>
      </c>
      <c r="AC646" s="35">
        <f>IF(AQ646="1",BI646,0)</f>
        <v>2997.12</v>
      </c>
      <c r="AD646" s="35">
        <f>IF(AQ646="7",BH646,0)</f>
        <v>0</v>
      </c>
      <c r="AE646" s="35">
        <f>IF(AQ646="7",BI646,0)</f>
        <v>0</v>
      </c>
      <c r="AF646" s="35">
        <f>IF(AQ646="2",BH646,0)</f>
        <v>0</v>
      </c>
      <c r="AG646" s="35">
        <f>IF(AQ646="2",BI646,0)</f>
        <v>0</v>
      </c>
      <c r="AH646" s="35">
        <f>IF(AQ646="0",BJ646,0)</f>
        <v>0</v>
      </c>
      <c r="AI646" s="77" t="s">
        <v>71</v>
      </c>
      <c r="AJ646" s="64">
        <f>IF(AN646=0,L646,0)</f>
        <v>0</v>
      </c>
      <c r="AK646" s="64">
        <f>IF(AN646=15,L646,0)</f>
        <v>0</v>
      </c>
      <c r="AL646" s="64">
        <f>IF(AN646=21,L646,0)</f>
        <v>2997.12</v>
      </c>
      <c r="AN646" s="35">
        <v>21</v>
      </c>
      <c r="AO646" s="35">
        <f>I646*0</f>
        <v>0</v>
      </c>
      <c r="AP646" s="35">
        <f>I646*(1-0)</f>
        <v>446</v>
      </c>
      <c r="AQ646" s="78" t="s">
        <v>109</v>
      </c>
      <c r="AV646" s="35">
        <f>AW646+AX646</f>
        <v>2997.12</v>
      </c>
      <c r="AW646" s="35">
        <f>H646*AO646</f>
        <v>0</v>
      </c>
      <c r="AX646" s="35">
        <f>H646*AP646</f>
        <v>2997.12</v>
      </c>
      <c r="AY646" s="80" t="s">
        <v>1703</v>
      </c>
      <c r="AZ646" s="80" t="s">
        <v>1764</v>
      </c>
      <c r="BA646" s="77" t="s">
        <v>1784</v>
      </c>
      <c r="BC646" s="35">
        <f>AW646+AX646</f>
        <v>2997.12</v>
      </c>
      <c r="BD646" s="35">
        <f>I646/(100-BE646)*100</f>
        <v>446</v>
      </c>
      <c r="BE646" s="35">
        <v>0</v>
      </c>
      <c r="BF646" s="35">
        <f>646</f>
        <v>646</v>
      </c>
      <c r="BH646" s="64">
        <f>H646*AO646</f>
        <v>0</v>
      </c>
      <c r="BI646" s="64">
        <f>H646*AP646</f>
        <v>2997.12</v>
      </c>
      <c r="BJ646" s="64">
        <f>H646*I646</f>
        <v>2997.12</v>
      </c>
      <c r="BK646" s="64" t="s">
        <v>1790</v>
      </c>
      <c r="BL646" s="35">
        <v>13</v>
      </c>
    </row>
    <row r="647" spans="1:64">
      <c r="A647" s="47" t="s">
        <v>632</v>
      </c>
      <c r="B647" s="55" t="s">
        <v>71</v>
      </c>
      <c r="C647" s="55" t="s">
        <v>1045</v>
      </c>
      <c r="D647" s="165" t="s">
        <v>1548</v>
      </c>
      <c r="E647" s="166"/>
      <c r="F647" s="166"/>
      <c r="G647" s="55" t="s">
        <v>1638</v>
      </c>
      <c r="H647" s="64">
        <v>6.72</v>
      </c>
      <c r="I647" s="64">
        <v>189</v>
      </c>
      <c r="J647" s="64">
        <f>H647*AO647</f>
        <v>0</v>
      </c>
      <c r="K647" s="64">
        <f>H647*AP647</f>
        <v>1270.08</v>
      </c>
      <c r="L647" s="64">
        <f>H647*I647</f>
        <v>1270.08</v>
      </c>
      <c r="M647" s="73" t="s">
        <v>1657</v>
      </c>
      <c r="N647" s="19"/>
      <c r="Z647" s="35">
        <f>IF(AQ647="5",BJ647,0)</f>
        <v>0</v>
      </c>
      <c r="AB647" s="35">
        <f>IF(AQ647="1",BH647,0)</f>
        <v>0</v>
      </c>
      <c r="AC647" s="35">
        <f>IF(AQ647="1",BI647,0)</f>
        <v>1270.08</v>
      </c>
      <c r="AD647" s="35">
        <f>IF(AQ647="7",BH647,0)</f>
        <v>0</v>
      </c>
      <c r="AE647" s="35">
        <f>IF(AQ647="7",BI647,0)</f>
        <v>0</v>
      </c>
      <c r="AF647" s="35">
        <f>IF(AQ647="2",BH647,0)</f>
        <v>0</v>
      </c>
      <c r="AG647" s="35">
        <f>IF(AQ647="2",BI647,0)</f>
        <v>0</v>
      </c>
      <c r="AH647" s="35">
        <f>IF(AQ647="0",BJ647,0)</f>
        <v>0</v>
      </c>
      <c r="AI647" s="77" t="s">
        <v>71</v>
      </c>
      <c r="AJ647" s="64">
        <f>IF(AN647=0,L647,0)</f>
        <v>0</v>
      </c>
      <c r="AK647" s="64">
        <f>IF(AN647=15,L647,0)</f>
        <v>0</v>
      </c>
      <c r="AL647" s="64">
        <f>IF(AN647=21,L647,0)</f>
        <v>1270.08</v>
      </c>
      <c r="AN647" s="35">
        <v>21</v>
      </c>
      <c r="AO647" s="35">
        <f>I647*0</f>
        <v>0</v>
      </c>
      <c r="AP647" s="35">
        <f>I647*(1-0)</f>
        <v>189</v>
      </c>
      <c r="AQ647" s="78" t="s">
        <v>109</v>
      </c>
      <c r="AV647" s="35">
        <f>AW647+AX647</f>
        <v>1270.08</v>
      </c>
      <c r="AW647" s="35">
        <f>H647*AO647</f>
        <v>0</v>
      </c>
      <c r="AX647" s="35">
        <f>H647*AP647</f>
        <v>1270.08</v>
      </c>
      <c r="AY647" s="80" t="s">
        <v>1703</v>
      </c>
      <c r="AZ647" s="80" t="s">
        <v>1764</v>
      </c>
      <c r="BA647" s="77" t="s">
        <v>1784</v>
      </c>
      <c r="BC647" s="35">
        <f>AW647+AX647</f>
        <v>1270.08</v>
      </c>
      <c r="BD647" s="35">
        <f>I647/(100-BE647)*100</f>
        <v>189</v>
      </c>
      <c r="BE647" s="35">
        <v>0</v>
      </c>
      <c r="BF647" s="35">
        <f>647</f>
        <v>647</v>
      </c>
      <c r="BH647" s="64">
        <f>H647*AO647</f>
        <v>0</v>
      </c>
      <c r="BI647" s="64">
        <f>H647*AP647</f>
        <v>1270.08</v>
      </c>
      <c r="BJ647" s="64">
        <f>H647*I647</f>
        <v>1270.08</v>
      </c>
      <c r="BK647" s="64" t="s">
        <v>1790</v>
      </c>
      <c r="BL647" s="35">
        <v>13</v>
      </c>
    </row>
    <row r="648" spans="1:64">
      <c r="A648" s="47" t="s">
        <v>633</v>
      </c>
      <c r="B648" s="55" t="s">
        <v>71</v>
      </c>
      <c r="C648" s="55" t="s">
        <v>1046</v>
      </c>
      <c r="D648" s="165" t="s">
        <v>1549</v>
      </c>
      <c r="E648" s="166"/>
      <c r="F648" s="166"/>
      <c r="G648" s="55" t="s">
        <v>1638</v>
      </c>
      <c r="H648" s="64">
        <v>186.24</v>
      </c>
      <c r="I648" s="64">
        <v>440</v>
      </c>
      <c r="J648" s="64">
        <f>H648*AO648</f>
        <v>0</v>
      </c>
      <c r="K648" s="64">
        <f>H648*AP648</f>
        <v>81945.600000000006</v>
      </c>
      <c r="L648" s="64">
        <f>H648*I648</f>
        <v>81945.600000000006</v>
      </c>
      <c r="M648" s="73" t="s">
        <v>1657</v>
      </c>
      <c r="N648" s="19"/>
      <c r="Z648" s="35">
        <f>IF(AQ648="5",BJ648,0)</f>
        <v>0</v>
      </c>
      <c r="AB648" s="35">
        <f>IF(AQ648="1",BH648,0)</f>
        <v>0</v>
      </c>
      <c r="AC648" s="35">
        <f>IF(AQ648="1",BI648,0)</f>
        <v>81945.600000000006</v>
      </c>
      <c r="AD648" s="35">
        <f>IF(AQ648="7",BH648,0)</f>
        <v>0</v>
      </c>
      <c r="AE648" s="35">
        <f>IF(AQ648="7",BI648,0)</f>
        <v>0</v>
      </c>
      <c r="AF648" s="35">
        <f>IF(AQ648="2",BH648,0)</f>
        <v>0</v>
      </c>
      <c r="AG648" s="35">
        <f>IF(AQ648="2",BI648,0)</f>
        <v>0</v>
      </c>
      <c r="AH648" s="35">
        <f>IF(AQ648="0",BJ648,0)</f>
        <v>0</v>
      </c>
      <c r="AI648" s="77" t="s">
        <v>71</v>
      </c>
      <c r="AJ648" s="64">
        <f>IF(AN648=0,L648,0)</f>
        <v>0</v>
      </c>
      <c r="AK648" s="64">
        <f>IF(AN648=15,L648,0)</f>
        <v>0</v>
      </c>
      <c r="AL648" s="64">
        <f>IF(AN648=21,L648,0)</f>
        <v>81945.600000000006</v>
      </c>
      <c r="AN648" s="35">
        <v>21</v>
      </c>
      <c r="AO648" s="35">
        <f>I648*0</f>
        <v>0</v>
      </c>
      <c r="AP648" s="35">
        <f>I648*(1-0)</f>
        <v>440</v>
      </c>
      <c r="AQ648" s="78" t="s">
        <v>109</v>
      </c>
      <c r="AV648" s="35">
        <f>AW648+AX648</f>
        <v>81945.600000000006</v>
      </c>
      <c r="AW648" s="35">
        <f>H648*AO648</f>
        <v>0</v>
      </c>
      <c r="AX648" s="35">
        <f>H648*AP648</f>
        <v>81945.600000000006</v>
      </c>
      <c r="AY648" s="80" t="s">
        <v>1703</v>
      </c>
      <c r="AZ648" s="80" t="s">
        <v>1764</v>
      </c>
      <c r="BA648" s="77" t="s">
        <v>1784</v>
      </c>
      <c r="BC648" s="35">
        <f>AW648+AX648</f>
        <v>81945.600000000006</v>
      </c>
      <c r="BD648" s="35">
        <f>I648/(100-BE648)*100</f>
        <v>440.00000000000006</v>
      </c>
      <c r="BE648" s="35">
        <v>0</v>
      </c>
      <c r="BF648" s="35">
        <f>648</f>
        <v>648</v>
      </c>
      <c r="BH648" s="64">
        <f>H648*AO648</f>
        <v>0</v>
      </c>
      <c r="BI648" s="64">
        <f>H648*AP648</f>
        <v>81945.600000000006</v>
      </c>
      <c r="BJ648" s="64">
        <f>H648*I648</f>
        <v>81945.600000000006</v>
      </c>
      <c r="BK648" s="64" t="s">
        <v>1790</v>
      </c>
      <c r="BL648" s="35">
        <v>13</v>
      </c>
    </row>
    <row r="649" spans="1:64">
      <c r="A649" s="47" t="s">
        <v>634</v>
      </c>
      <c r="B649" s="55" t="s">
        <v>71</v>
      </c>
      <c r="C649" s="55" t="s">
        <v>1047</v>
      </c>
      <c r="D649" s="165" t="s">
        <v>1550</v>
      </c>
      <c r="E649" s="166"/>
      <c r="F649" s="166"/>
      <c r="G649" s="55" t="s">
        <v>1638</v>
      </c>
      <c r="H649" s="64">
        <v>186.24</v>
      </c>
      <c r="I649" s="64">
        <v>53</v>
      </c>
      <c r="J649" s="64">
        <f>H649*AO649</f>
        <v>0</v>
      </c>
      <c r="K649" s="64">
        <f>H649*AP649</f>
        <v>9870.7200000000012</v>
      </c>
      <c r="L649" s="64">
        <f>H649*I649</f>
        <v>9870.7200000000012</v>
      </c>
      <c r="M649" s="73" t="s">
        <v>1657</v>
      </c>
      <c r="N649" s="19"/>
      <c r="Z649" s="35">
        <f>IF(AQ649="5",BJ649,0)</f>
        <v>0</v>
      </c>
      <c r="AB649" s="35">
        <f>IF(AQ649="1",BH649,0)</f>
        <v>0</v>
      </c>
      <c r="AC649" s="35">
        <f>IF(AQ649="1",BI649,0)</f>
        <v>9870.7200000000012</v>
      </c>
      <c r="AD649" s="35">
        <f>IF(AQ649="7",BH649,0)</f>
        <v>0</v>
      </c>
      <c r="AE649" s="35">
        <f>IF(AQ649="7",BI649,0)</f>
        <v>0</v>
      </c>
      <c r="AF649" s="35">
        <f>IF(AQ649="2",BH649,0)</f>
        <v>0</v>
      </c>
      <c r="AG649" s="35">
        <f>IF(AQ649="2",BI649,0)</f>
        <v>0</v>
      </c>
      <c r="AH649" s="35">
        <f>IF(AQ649="0",BJ649,0)</f>
        <v>0</v>
      </c>
      <c r="AI649" s="77" t="s">
        <v>71</v>
      </c>
      <c r="AJ649" s="64">
        <f>IF(AN649=0,L649,0)</f>
        <v>0</v>
      </c>
      <c r="AK649" s="64">
        <f>IF(AN649=15,L649,0)</f>
        <v>0</v>
      </c>
      <c r="AL649" s="64">
        <f>IF(AN649=21,L649,0)</f>
        <v>9870.7200000000012</v>
      </c>
      <c r="AN649" s="35">
        <v>21</v>
      </c>
      <c r="AO649" s="35">
        <f>I649*0</f>
        <v>0</v>
      </c>
      <c r="AP649" s="35">
        <f>I649*(1-0)</f>
        <v>53</v>
      </c>
      <c r="AQ649" s="78" t="s">
        <v>109</v>
      </c>
      <c r="AV649" s="35">
        <f>AW649+AX649</f>
        <v>9870.7200000000012</v>
      </c>
      <c r="AW649" s="35">
        <f>H649*AO649</f>
        <v>0</v>
      </c>
      <c r="AX649" s="35">
        <f>H649*AP649</f>
        <v>9870.7200000000012</v>
      </c>
      <c r="AY649" s="80" t="s">
        <v>1703</v>
      </c>
      <c r="AZ649" s="80" t="s">
        <v>1764</v>
      </c>
      <c r="BA649" s="77" t="s">
        <v>1784</v>
      </c>
      <c r="BC649" s="35">
        <f>AW649+AX649</f>
        <v>9870.7200000000012</v>
      </c>
      <c r="BD649" s="35">
        <f>I649/(100-BE649)*100</f>
        <v>53</v>
      </c>
      <c r="BE649" s="35">
        <v>0</v>
      </c>
      <c r="BF649" s="35">
        <f>649</f>
        <v>649</v>
      </c>
      <c r="BH649" s="64">
        <f>H649*AO649</f>
        <v>0</v>
      </c>
      <c r="BI649" s="64">
        <f>H649*AP649</f>
        <v>9870.7200000000012</v>
      </c>
      <c r="BJ649" s="64">
        <f>H649*I649</f>
        <v>9870.7200000000012</v>
      </c>
      <c r="BK649" s="64" t="s">
        <v>1790</v>
      </c>
      <c r="BL649" s="35">
        <v>13</v>
      </c>
    </row>
    <row r="650" spans="1:64">
      <c r="A650" s="46"/>
      <c r="B650" s="54" t="s">
        <v>71</v>
      </c>
      <c r="C650" s="54" t="s">
        <v>167</v>
      </c>
      <c r="D650" s="163" t="s">
        <v>217</v>
      </c>
      <c r="E650" s="164"/>
      <c r="F650" s="164"/>
      <c r="G650" s="61" t="s">
        <v>57</v>
      </c>
      <c r="H650" s="61" t="s">
        <v>57</v>
      </c>
      <c r="I650" s="61" t="s">
        <v>57</v>
      </c>
      <c r="J650" s="83">
        <f>SUM(J651:J661)</f>
        <v>0</v>
      </c>
      <c r="K650" s="83">
        <f>SUM(K651:K661)</f>
        <v>91111.23</v>
      </c>
      <c r="L650" s="83">
        <f>SUM(L651:L661)</f>
        <v>91111.23</v>
      </c>
      <c r="M650" s="72"/>
      <c r="N650" s="19"/>
      <c r="AI650" s="77" t="s">
        <v>71</v>
      </c>
      <c r="AS650" s="83">
        <f>SUM(AJ651:AJ661)</f>
        <v>0</v>
      </c>
      <c r="AT650" s="83">
        <f>SUM(AK651:AK661)</f>
        <v>0</v>
      </c>
      <c r="AU650" s="83">
        <f>SUM(AL651:AL661)</f>
        <v>91111.23</v>
      </c>
    </row>
    <row r="651" spans="1:64">
      <c r="A651" s="47" t="s">
        <v>635</v>
      </c>
      <c r="B651" s="55" t="s">
        <v>71</v>
      </c>
      <c r="C651" s="55" t="s">
        <v>1048</v>
      </c>
      <c r="D651" s="165" t="s">
        <v>1551</v>
      </c>
      <c r="E651" s="166"/>
      <c r="F651" s="166"/>
      <c r="G651" s="55" t="s">
        <v>1632</v>
      </c>
      <c r="H651" s="64">
        <v>18.5</v>
      </c>
      <c r="I651" s="64">
        <v>44</v>
      </c>
      <c r="J651" s="64">
        <f t="shared" ref="J651:J661" si="422">H651*AO651</f>
        <v>0</v>
      </c>
      <c r="K651" s="64">
        <f t="shared" ref="K651:K661" si="423">H651*AP651</f>
        <v>814</v>
      </c>
      <c r="L651" s="64">
        <f t="shared" ref="L651:L661" si="424">H651*I651</f>
        <v>814</v>
      </c>
      <c r="M651" s="73" t="s">
        <v>1657</v>
      </c>
      <c r="N651" s="19"/>
      <c r="Z651" s="35">
        <f t="shared" ref="Z651:Z661" si="425">IF(AQ651="5",BJ651,0)</f>
        <v>0</v>
      </c>
      <c r="AB651" s="35">
        <f t="shared" ref="AB651:AB661" si="426">IF(AQ651="1",BH651,0)</f>
        <v>0</v>
      </c>
      <c r="AC651" s="35">
        <f t="shared" ref="AC651:AC661" si="427">IF(AQ651="1",BI651,0)</f>
        <v>814</v>
      </c>
      <c r="AD651" s="35">
        <f t="shared" ref="AD651:AD661" si="428">IF(AQ651="7",BH651,0)</f>
        <v>0</v>
      </c>
      <c r="AE651" s="35">
        <f t="shared" ref="AE651:AE661" si="429">IF(AQ651="7",BI651,0)</f>
        <v>0</v>
      </c>
      <c r="AF651" s="35">
        <f t="shared" ref="AF651:AF661" si="430">IF(AQ651="2",BH651,0)</f>
        <v>0</v>
      </c>
      <c r="AG651" s="35">
        <f t="shared" ref="AG651:AG661" si="431">IF(AQ651="2",BI651,0)</f>
        <v>0</v>
      </c>
      <c r="AH651" s="35">
        <f t="shared" ref="AH651:AH661" si="432">IF(AQ651="0",BJ651,0)</f>
        <v>0</v>
      </c>
      <c r="AI651" s="77" t="s">
        <v>71</v>
      </c>
      <c r="AJ651" s="64">
        <f t="shared" ref="AJ651:AJ661" si="433">IF(AN651=0,L651,0)</f>
        <v>0</v>
      </c>
      <c r="AK651" s="64">
        <f t="shared" ref="AK651:AK661" si="434">IF(AN651=15,L651,0)</f>
        <v>0</v>
      </c>
      <c r="AL651" s="64">
        <f t="shared" ref="AL651:AL661" si="435">IF(AN651=21,L651,0)</f>
        <v>814</v>
      </c>
      <c r="AN651" s="35">
        <v>21</v>
      </c>
      <c r="AO651" s="35">
        <f t="shared" ref="AO651:AO661" si="436">I651*0</f>
        <v>0</v>
      </c>
      <c r="AP651" s="35">
        <f t="shared" ref="AP651:AP661" si="437">I651*(1-0)</f>
        <v>44</v>
      </c>
      <c r="AQ651" s="78" t="s">
        <v>109</v>
      </c>
      <c r="AV651" s="35">
        <f t="shared" ref="AV651:AV661" si="438">AW651+AX651</f>
        <v>814</v>
      </c>
      <c r="AW651" s="35">
        <f t="shared" ref="AW651:AW661" si="439">H651*AO651</f>
        <v>0</v>
      </c>
      <c r="AX651" s="35">
        <f t="shared" ref="AX651:AX661" si="440">H651*AP651</f>
        <v>814</v>
      </c>
      <c r="AY651" s="80" t="s">
        <v>1706</v>
      </c>
      <c r="AZ651" s="80" t="s">
        <v>1764</v>
      </c>
      <c r="BA651" s="77" t="s">
        <v>1784</v>
      </c>
      <c r="BC651" s="35">
        <f t="shared" ref="BC651:BC661" si="441">AW651+AX651</f>
        <v>814</v>
      </c>
      <c r="BD651" s="35">
        <f t="shared" ref="BD651:BD661" si="442">I651/(100-BE651)*100</f>
        <v>44</v>
      </c>
      <c r="BE651" s="35">
        <v>0</v>
      </c>
      <c r="BF651" s="35">
        <f>651</f>
        <v>651</v>
      </c>
      <c r="BH651" s="64">
        <f t="shared" ref="BH651:BH661" si="443">H651*AO651</f>
        <v>0</v>
      </c>
      <c r="BI651" s="64">
        <f t="shared" ref="BI651:BI661" si="444">H651*AP651</f>
        <v>814</v>
      </c>
      <c r="BJ651" s="64">
        <f t="shared" ref="BJ651:BJ661" si="445">H651*I651</f>
        <v>814</v>
      </c>
      <c r="BK651" s="64" t="s">
        <v>1790</v>
      </c>
      <c r="BL651" s="35">
        <v>11</v>
      </c>
    </row>
    <row r="652" spans="1:64">
      <c r="A652" s="47" t="s">
        <v>636</v>
      </c>
      <c r="B652" s="55" t="s">
        <v>71</v>
      </c>
      <c r="C652" s="55" t="s">
        <v>1049</v>
      </c>
      <c r="D652" s="165" t="s">
        <v>1552</v>
      </c>
      <c r="E652" s="166"/>
      <c r="F652" s="166"/>
      <c r="G652" s="55" t="s">
        <v>1632</v>
      </c>
      <c r="H652" s="64">
        <v>18.5</v>
      </c>
      <c r="I652" s="64">
        <v>37</v>
      </c>
      <c r="J652" s="64">
        <f t="shared" si="422"/>
        <v>0</v>
      </c>
      <c r="K652" s="64">
        <f t="shared" si="423"/>
        <v>684.5</v>
      </c>
      <c r="L652" s="64">
        <f t="shared" si="424"/>
        <v>684.5</v>
      </c>
      <c r="M652" s="73" t="s">
        <v>1657</v>
      </c>
      <c r="N652" s="19"/>
      <c r="Z652" s="35">
        <f t="shared" si="425"/>
        <v>0</v>
      </c>
      <c r="AB652" s="35">
        <f t="shared" si="426"/>
        <v>0</v>
      </c>
      <c r="AC652" s="35">
        <f t="shared" si="427"/>
        <v>684.5</v>
      </c>
      <c r="AD652" s="35">
        <f t="shared" si="428"/>
        <v>0</v>
      </c>
      <c r="AE652" s="35">
        <f t="shared" si="429"/>
        <v>0</v>
      </c>
      <c r="AF652" s="35">
        <f t="shared" si="430"/>
        <v>0</v>
      </c>
      <c r="AG652" s="35">
        <f t="shared" si="431"/>
        <v>0</v>
      </c>
      <c r="AH652" s="35">
        <f t="shared" si="432"/>
        <v>0</v>
      </c>
      <c r="AI652" s="77" t="s">
        <v>71</v>
      </c>
      <c r="AJ652" s="64">
        <f t="shared" si="433"/>
        <v>0</v>
      </c>
      <c r="AK652" s="64">
        <f t="shared" si="434"/>
        <v>0</v>
      </c>
      <c r="AL652" s="64">
        <f t="shared" si="435"/>
        <v>684.5</v>
      </c>
      <c r="AN652" s="35">
        <v>21</v>
      </c>
      <c r="AO652" s="35">
        <f t="shared" si="436"/>
        <v>0</v>
      </c>
      <c r="AP652" s="35">
        <f t="shared" si="437"/>
        <v>37</v>
      </c>
      <c r="AQ652" s="78" t="s">
        <v>109</v>
      </c>
      <c r="AV652" s="35">
        <f t="shared" si="438"/>
        <v>684.5</v>
      </c>
      <c r="AW652" s="35">
        <f t="shared" si="439"/>
        <v>0</v>
      </c>
      <c r="AX652" s="35">
        <f t="shared" si="440"/>
        <v>684.5</v>
      </c>
      <c r="AY652" s="80" t="s">
        <v>1706</v>
      </c>
      <c r="AZ652" s="80" t="s">
        <v>1764</v>
      </c>
      <c r="BA652" s="77" t="s">
        <v>1784</v>
      </c>
      <c r="BC652" s="35">
        <f t="shared" si="441"/>
        <v>684.5</v>
      </c>
      <c r="BD652" s="35">
        <f t="shared" si="442"/>
        <v>37</v>
      </c>
      <c r="BE652" s="35">
        <v>0</v>
      </c>
      <c r="BF652" s="35">
        <f>652</f>
        <v>652</v>
      </c>
      <c r="BH652" s="64">
        <f t="shared" si="443"/>
        <v>0</v>
      </c>
      <c r="BI652" s="64">
        <f t="shared" si="444"/>
        <v>684.5</v>
      </c>
      <c r="BJ652" s="64">
        <f t="shared" si="445"/>
        <v>684.5</v>
      </c>
      <c r="BK652" s="64" t="s">
        <v>1790</v>
      </c>
      <c r="BL652" s="35">
        <v>11</v>
      </c>
    </row>
    <row r="653" spans="1:64">
      <c r="A653" s="47" t="s">
        <v>637</v>
      </c>
      <c r="B653" s="55" t="s">
        <v>71</v>
      </c>
      <c r="C653" s="55" t="s">
        <v>1050</v>
      </c>
      <c r="D653" s="165" t="s">
        <v>1553</v>
      </c>
      <c r="E653" s="166"/>
      <c r="F653" s="166"/>
      <c r="G653" s="55" t="s">
        <v>1632</v>
      </c>
      <c r="H653" s="64">
        <v>109.5</v>
      </c>
      <c r="I653" s="64">
        <v>206</v>
      </c>
      <c r="J653" s="64">
        <f t="shared" si="422"/>
        <v>0</v>
      </c>
      <c r="K653" s="64">
        <f t="shared" si="423"/>
        <v>22557</v>
      </c>
      <c r="L653" s="64">
        <f t="shared" si="424"/>
        <v>22557</v>
      </c>
      <c r="M653" s="73" t="s">
        <v>1657</v>
      </c>
      <c r="N653" s="19"/>
      <c r="Z653" s="35">
        <f t="shared" si="425"/>
        <v>0</v>
      </c>
      <c r="AB653" s="35">
        <f t="shared" si="426"/>
        <v>0</v>
      </c>
      <c r="AC653" s="35">
        <f t="shared" si="427"/>
        <v>22557</v>
      </c>
      <c r="AD653" s="35">
        <f t="shared" si="428"/>
        <v>0</v>
      </c>
      <c r="AE653" s="35">
        <f t="shared" si="429"/>
        <v>0</v>
      </c>
      <c r="AF653" s="35">
        <f t="shared" si="430"/>
        <v>0</v>
      </c>
      <c r="AG653" s="35">
        <f t="shared" si="431"/>
        <v>0</v>
      </c>
      <c r="AH653" s="35">
        <f t="shared" si="432"/>
        <v>0</v>
      </c>
      <c r="AI653" s="77" t="s">
        <v>71</v>
      </c>
      <c r="AJ653" s="64">
        <f t="shared" si="433"/>
        <v>0</v>
      </c>
      <c r="AK653" s="64">
        <f t="shared" si="434"/>
        <v>0</v>
      </c>
      <c r="AL653" s="64">
        <f t="shared" si="435"/>
        <v>22557</v>
      </c>
      <c r="AN653" s="35">
        <v>21</v>
      </c>
      <c r="AO653" s="35">
        <f t="shared" si="436"/>
        <v>0</v>
      </c>
      <c r="AP653" s="35">
        <f t="shared" si="437"/>
        <v>206</v>
      </c>
      <c r="AQ653" s="78" t="s">
        <v>109</v>
      </c>
      <c r="AV653" s="35">
        <f t="shared" si="438"/>
        <v>22557</v>
      </c>
      <c r="AW653" s="35">
        <f t="shared" si="439"/>
        <v>0</v>
      </c>
      <c r="AX653" s="35">
        <f t="shared" si="440"/>
        <v>22557</v>
      </c>
      <c r="AY653" s="80" t="s">
        <v>1706</v>
      </c>
      <c r="AZ653" s="80" t="s">
        <v>1764</v>
      </c>
      <c r="BA653" s="77" t="s">
        <v>1784</v>
      </c>
      <c r="BC653" s="35">
        <f t="shared" si="441"/>
        <v>22557</v>
      </c>
      <c r="BD653" s="35">
        <f t="shared" si="442"/>
        <v>206</v>
      </c>
      <c r="BE653" s="35">
        <v>0</v>
      </c>
      <c r="BF653" s="35">
        <f>653</f>
        <v>653</v>
      </c>
      <c r="BH653" s="64">
        <f t="shared" si="443"/>
        <v>0</v>
      </c>
      <c r="BI653" s="64">
        <f t="shared" si="444"/>
        <v>22557</v>
      </c>
      <c r="BJ653" s="64">
        <f t="shared" si="445"/>
        <v>22557</v>
      </c>
      <c r="BK653" s="64" t="s">
        <v>1790</v>
      </c>
      <c r="BL653" s="35">
        <v>11</v>
      </c>
    </row>
    <row r="654" spans="1:64">
      <c r="A654" s="47" t="s">
        <v>638</v>
      </c>
      <c r="B654" s="55" t="s">
        <v>71</v>
      </c>
      <c r="C654" s="55" t="s">
        <v>1050</v>
      </c>
      <c r="D654" s="165" t="s">
        <v>1553</v>
      </c>
      <c r="E654" s="166"/>
      <c r="F654" s="166"/>
      <c r="G654" s="55" t="s">
        <v>1632</v>
      </c>
      <c r="H654" s="64">
        <v>44.31</v>
      </c>
      <c r="I654" s="64">
        <v>206</v>
      </c>
      <c r="J654" s="64">
        <f t="shared" si="422"/>
        <v>0</v>
      </c>
      <c r="K654" s="64">
        <f t="shared" si="423"/>
        <v>9127.86</v>
      </c>
      <c r="L654" s="64">
        <f t="shared" si="424"/>
        <v>9127.86</v>
      </c>
      <c r="M654" s="73" t="s">
        <v>1657</v>
      </c>
      <c r="N654" s="19"/>
      <c r="Z654" s="35">
        <f t="shared" si="425"/>
        <v>0</v>
      </c>
      <c r="AB654" s="35">
        <f t="shared" si="426"/>
        <v>0</v>
      </c>
      <c r="AC654" s="35">
        <f t="shared" si="427"/>
        <v>9127.86</v>
      </c>
      <c r="AD654" s="35">
        <f t="shared" si="428"/>
        <v>0</v>
      </c>
      <c r="AE654" s="35">
        <f t="shared" si="429"/>
        <v>0</v>
      </c>
      <c r="AF654" s="35">
        <f t="shared" si="430"/>
        <v>0</v>
      </c>
      <c r="AG654" s="35">
        <f t="shared" si="431"/>
        <v>0</v>
      </c>
      <c r="AH654" s="35">
        <f t="shared" si="432"/>
        <v>0</v>
      </c>
      <c r="AI654" s="77" t="s">
        <v>71</v>
      </c>
      <c r="AJ654" s="64">
        <f t="shared" si="433"/>
        <v>0</v>
      </c>
      <c r="AK654" s="64">
        <f t="shared" si="434"/>
        <v>0</v>
      </c>
      <c r="AL654" s="64">
        <f t="shared" si="435"/>
        <v>9127.86</v>
      </c>
      <c r="AN654" s="35">
        <v>21</v>
      </c>
      <c r="AO654" s="35">
        <f t="shared" si="436"/>
        <v>0</v>
      </c>
      <c r="AP654" s="35">
        <f t="shared" si="437"/>
        <v>206</v>
      </c>
      <c r="AQ654" s="78" t="s">
        <v>109</v>
      </c>
      <c r="AV654" s="35">
        <f t="shared" si="438"/>
        <v>9127.86</v>
      </c>
      <c r="AW654" s="35">
        <f t="shared" si="439"/>
        <v>0</v>
      </c>
      <c r="AX654" s="35">
        <f t="shared" si="440"/>
        <v>9127.86</v>
      </c>
      <c r="AY654" s="80" t="s">
        <v>1706</v>
      </c>
      <c r="AZ654" s="80" t="s">
        <v>1764</v>
      </c>
      <c r="BA654" s="77" t="s">
        <v>1784</v>
      </c>
      <c r="BC654" s="35">
        <f t="shared" si="441"/>
        <v>9127.86</v>
      </c>
      <c r="BD654" s="35">
        <f t="shared" si="442"/>
        <v>206</v>
      </c>
      <c r="BE654" s="35">
        <v>0</v>
      </c>
      <c r="BF654" s="35">
        <f>654</f>
        <v>654</v>
      </c>
      <c r="BH654" s="64">
        <f t="shared" si="443"/>
        <v>0</v>
      </c>
      <c r="BI654" s="64">
        <f t="shared" si="444"/>
        <v>9127.86</v>
      </c>
      <c r="BJ654" s="64">
        <f t="shared" si="445"/>
        <v>9127.86</v>
      </c>
      <c r="BK654" s="64" t="s">
        <v>1790</v>
      </c>
      <c r="BL654" s="35">
        <v>11</v>
      </c>
    </row>
    <row r="655" spans="1:64">
      <c r="A655" s="47" t="s">
        <v>639</v>
      </c>
      <c r="B655" s="55" t="s">
        <v>71</v>
      </c>
      <c r="C655" s="55" t="s">
        <v>1051</v>
      </c>
      <c r="D655" s="165" t="s">
        <v>1554</v>
      </c>
      <c r="E655" s="166"/>
      <c r="F655" s="166"/>
      <c r="G655" s="55" t="s">
        <v>1632</v>
      </c>
      <c r="H655" s="64">
        <v>18.5</v>
      </c>
      <c r="I655" s="64">
        <v>247</v>
      </c>
      <c r="J655" s="64">
        <f t="shared" si="422"/>
        <v>0</v>
      </c>
      <c r="K655" s="64">
        <f t="shared" si="423"/>
        <v>4569.5</v>
      </c>
      <c r="L655" s="64">
        <f t="shared" si="424"/>
        <v>4569.5</v>
      </c>
      <c r="M655" s="73" t="s">
        <v>1657</v>
      </c>
      <c r="N655" s="19"/>
      <c r="Z655" s="35">
        <f t="shared" si="425"/>
        <v>0</v>
      </c>
      <c r="AB655" s="35">
        <f t="shared" si="426"/>
        <v>0</v>
      </c>
      <c r="AC655" s="35">
        <f t="shared" si="427"/>
        <v>4569.5</v>
      </c>
      <c r="AD655" s="35">
        <f t="shared" si="428"/>
        <v>0</v>
      </c>
      <c r="AE655" s="35">
        <f t="shared" si="429"/>
        <v>0</v>
      </c>
      <c r="AF655" s="35">
        <f t="shared" si="430"/>
        <v>0</v>
      </c>
      <c r="AG655" s="35">
        <f t="shared" si="431"/>
        <v>0</v>
      </c>
      <c r="AH655" s="35">
        <f t="shared" si="432"/>
        <v>0</v>
      </c>
      <c r="AI655" s="77" t="s">
        <v>71</v>
      </c>
      <c r="AJ655" s="64">
        <f t="shared" si="433"/>
        <v>0</v>
      </c>
      <c r="AK655" s="64">
        <f t="shared" si="434"/>
        <v>0</v>
      </c>
      <c r="AL655" s="64">
        <f t="shared" si="435"/>
        <v>4569.5</v>
      </c>
      <c r="AN655" s="35">
        <v>21</v>
      </c>
      <c r="AO655" s="35">
        <f t="shared" si="436"/>
        <v>0</v>
      </c>
      <c r="AP655" s="35">
        <f t="shared" si="437"/>
        <v>247</v>
      </c>
      <c r="AQ655" s="78" t="s">
        <v>109</v>
      </c>
      <c r="AV655" s="35">
        <f t="shared" si="438"/>
        <v>4569.5</v>
      </c>
      <c r="AW655" s="35">
        <f t="shared" si="439"/>
        <v>0</v>
      </c>
      <c r="AX655" s="35">
        <f t="shared" si="440"/>
        <v>4569.5</v>
      </c>
      <c r="AY655" s="80" t="s">
        <v>1706</v>
      </c>
      <c r="AZ655" s="80" t="s">
        <v>1764</v>
      </c>
      <c r="BA655" s="77" t="s">
        <v>1784</v>
      </c>
      <c r="BC655" s="35">
        <f t="shared" si="441"/>
        <v>4569.5</v>
      </c>
      <c r="BD655" s="35">
        <f t="shared" si="442"/>
        <v>247.00000000000003</v>
      </c>
      <c r="BE655" s="35">
        <v>0</v>
      </c>
      <c r="BF655" s="35">
        <f>655</f>
        <v>655</v>
      </c>
      <c r="BH655" s="64">
        <f t="shared" si="443"/>
        <v>0</v>
      </c>
      <c r="BI655" s="64">
        <f t="shared" si="444"/>
        <v>4569.5</v>
      </c>
      <c r="BJ655" s="64">
        <f t="shared" si="445"/>
        <v>4569.5</v>
      </c>
      <c r="BK655" s="64" t="s">
        <v>1790</v>
      </c>
      <c r="BL655" s="35">
        <v>11</v>
      </c>
    </row>
    <row r="656" spans="1:64">
      <c r="A656" s="47" t="s">
        <v>640</v>
      </c>
      <c r="B656" s="55" t="s">
        <v>71</v>
      </c>
      <c r="C656" s="55" t="s">
        <v>1052</v>
      </c>
      <c r="D656" s="165" t="s">
        <v>1555</v>
      </c>
      <c r="E656" s="166"/>
      <c r="F656" s="166"/>
      <c r="G656" s="55" t="s">
        <v>1632</v>
      </c>
      <c r="H656" s="64">
        <v>44.31</v>
      </c>
      <c r="I656" s="64">
        <v>147</v>
      </c>
      <c r="J656" s="64">
        <f t="shared" si="422"/>
        <v>0</v>
      </c>
      <c r="K656" s="64">
        <f t="shared" si="423"/>
        <v>6513.5700000000006</v>
      </c>
      <c r="L656" s="64">
        <f t="shared" si="424"/>
        <v>6513.5700000000006</v>
      </c>
      <c r="M656" s="73" t="s">
        <v>1657</v>
      </c>
      <c r="N656" s="19"/>
      <c r="Z656" s="35">
        <f t="shared" si="425"/>
        <v>0</v>
      </c>
      <c r="AB656" s="35">
        <f t="shared" si="426"/>
        <v>0</v>
      </c>
      <c r="AC656" s="35">
        <f t="shared" si="427"/>
        <v>6513.5700000000006</v>
      </c>
      <c r="AD656" s="35">
        <f t="shared" si="428"/>
        <v>0</v>
      </c>
      <c r="AE656" s="35">
        <f t="shared" si="429"/>
        <v>0</v>
      </c>
      <c r="AF656" s="35">
        <f t="shared" si="430"/>
        <v>0</v>
      </c>
      <c r="AG656" s="35">
        <f t="shared" si="431"/>
        <v>0</v>
      </c>
      <c r="AH656" s="35">
        <f t="shared" si="432"/>
        <v>0</v>
      </c>
      <c r="AI656" s="77" t="s">
        <v>71</v>
      </c>
      <c r="AJ656" s="64">
        <f t="shared" si="433"/>
        <v>0</v>
      </c>
      <c r="AK656" s="64">
        <f t="shared" si="434"/>
        <v>0</v>
      </c>
      <c r="AL656" s="64">
        <f t="shared" si="435"/>
        <v>6513.5700000000006</v>
      </c>
      <c r="AN656" s="35">
        <v>21</v>
      </c>
      <c r="AO656" s="35">
        <f t="shared" si="436"/>
        <v>0</v>
      </c>
      <c r="AP656" s="35">
        <f t="shared" si="437"/>
        <v>147</v>
      </c>
      <c r="AQ656" s="78" t="s">
        <v>109</v>
      </c>
      <c r="AV656" s="35">
        <f t="shared" si="438"/>
        <v>6513.5700000000006</v>
      </c>
      <c r="AW656" s="35">
        <f t="shared" si="439"/>
        <v>0</v>
      </c>
      <c r="AX656" s="35">
        <f t="shared" si="440"/>
        <v>6513.5700000000006</v>
      </c>
      <c r="AY656" s="80" t="s">
        <v>1706</v>
      </c>
      <c r="AZ656" s="80" t="s">
        <v>1764</v>
      </c>
      <c r="BA656" s="77" t="s">
        <v>1784</v>
      </c>
      <c r="BC656" s="35">
        <f t="shared" si="441"/>
        <v>6513.5700000000006</v>
      </c>
      <c r="BD656" s="35">
        <f t="shared" si="442"/>
        <v>147</v>
      </c>
      <c r="BE656" s="35">
        <v>0</v>
      </c>
      <c r="BF656" s="35">
        <f>656</f>
        <v>656</v>
      </c>
      <c r="BH656" s="64">
        <f t="shared" si="443"/>
        <v>0</v>
      </c>
      <c r="BI656" s="64">
        <f t="shared" si="444"/>
        <v>6513.5700000000006</v>
      </c>
      <c r="BJ656" s="64">
        <f t="shared" si="445"/>
        <v>6513.5700000000006</v>
      </c>
      <c r="BK656" s="64" t="s">
        <v>1790</v>
      </c>
      <c r="BL656" s="35">
        <v>11</v>
      </c>
    </row>
    <row r="657" spans="1:64">
      <c r="A657" s="47" t="s">
        <v>641</v>
      </c>
      <c r="B657" s="55" t="s">
        <v>71</v>
      </c>
      <c r="C657" s="55" t="s">
        <v>1053</v>
      </c>
      <c r="D657" s="165" t="s">
        <v>1556</v>
      </c>
      <c r="E657" s="166"/>
      <c r="F657" s="166"/>
      <c r="G657" s="55" t="s">
        <v>1632</v>
      </c>
      <c r="H657" s="64">
        <v>109.5</v>
      </c>
      <c r="I657" s="64">
        <v>328</v>
      </c>
      <c r="J657" s="64">
        <f t="shared" si="422"/>
        <v>0</v>
      </c>
      <c r="K657" s="64">
        <f t="shared" si="423"/>
        <v>35916</v>
      </c>
      <c r="L657" s="64">
        <f t="shared" si="424"/>
        <v>35916</v>
      </c>
      <c r="M657" s="73" t="s">
        <v>1657</v>
      </c>
      <c r="N657" s="19"/>
      <c r="Z657" s="35">
        <f t="shared" si="425"/>
        <v>0</v>
      </c>
      <c r="AB657" s="35">
        <f t="shared" si="426"/>
        <v>0</v>
      </c>
      <c r="AC657" s="35">
        <f t="shared" si="427"/>
        <v>35916</v>
      </c>
      <c r="AD657" s="35">
        <f t="shared" si="428"/>
        <v>0</v>
      </c>
      <c r="AE657" s="35">
        <f t="shared" si="429"/>
        <v>0</v>
      </c>
      <c r="AF657" s="35">
        <f t="shared" si="430"/>
        <v>0</v>
      </c>
      <c r="AG657" s="35">
        <f t="shared" si="431"/>
        <v>0</v>
      </c>
      <c r="AH657" s="35">
        <f t="shared" si="432"/>
        <v>0</v>
      </c>
      <c r="AI657" s="77" t="s">
        <v>71</v>
      </c>
      <c r="AJ657" s="64">
        <f t="shared" si="433"/>
        <v>0</v>
      </c>
      <c r="AK657" s="64">
        <f t="shared" si="434"/>
        <v>0</v>
      </c>
      <c r="AL657" s="64">
        <f t="shared" si="435"/>
        <v>35916</v>
      </c>
      <c r="AN657" s="35">
        <v>21</v>
      </c>
      <c r="AO657" s="35">
        <f t="shared" si="436"/>
        <v>0</v>
      </c>
      <c r="AP657" s="35">
        <f t="shared" si="437"/>
        <v>328</v>
      </c>
      <c r="AQ657" s="78" t="s">
        <v>109</v>
      </c>
      <c r="AV657" s="35">
        <f t="shared" si="438"/>
        <v>35916</v>
      </c>
      <c r="AW657" s="35">
        <f t="shared" si="439"/>
        <v>0</v>
      </c>
      <c r="AX657" s="35">
        <f t="shared" si="440"/>
        <v>35916</v>
      </c>
      <c r="AY657" s="80" t="s">
        <v>1706</v>
      </c>
      <c r="AZ657" s="80" t="s">
        <v>1764</v>
      </c>
      <c r="BA657" s="77" t="s">
        <v>1784</v>
      </c>
      <c r="BC657" s="35">
        <f t="shared" si="441"/>
        <v>35916</v>
      </c>
      <c r="BD657" s="35">
        <f t="shared" si="442"/>
        <v>328</v>
      </c>
      <c r="BE657" s="35">
        <v>0</v>
      </c>
      <c r="BF657" s="35">
        <f>657</f>
        <v>657</v>
      </c>
      <c r="BH657" s="64">
        <f t="shared" si="443"/>
        <v>0</v>
      </c>
      <c r="BI657" s="64">
        <f t="shared" si="444"/>
        <v>35916</v>
      </c>
      <c r="BJ657" s="64">
        <f t="shared" si="445"/>
        <v>35916</v>
      </c>
      <c r="BK657" s="64" t="s">
        <v>1790</v>
      </c>
      <c r="BL657" s="35">
        <v>11</v>
      </c>
    </row>
    <row r="658" spans="1:64">
      <c r="A658" s="47" t="s">
        <v>642</v>
      </c>
      <c r="B658" s="55" t="s">
        <v>71</v>
      </c>
      <c r="C658" s="55" t="s">
        <v>1054</v>
      </c>
      <c r="D658" s="165" t="s">
        <v>1557</v>
      </c>
      <c r="E658" s="166"/>
      <c r="F658" s="166"/>
      <c r="G658" s="55" t="s">
        <v>1633</v>
      </c>
      <c r="H658" s="64">
        <v>15.8</v>
      </c>
      <c r="I658" s="64">
        <v>41</v>
      </c>
      <c r="J658" s="64">
        <f t="shared" si="422"/>
        <v>0</v>
      </c>
      <c r="K658" s="64">
        <f t="shared" si="423"/>
        <v>647.80000000000007</v>
      </c>
      <c r="L658" s="64">
        <f t="shared" si="424"/>
        <v>647.80000000000007</v>
      </c>
      <c r="M658" s="73" t="s">
        <v>1657</v>
      </c>
      <c r="N658" s="19"/>
      <c r="Z658" s="35">
        <f t="shared" si="425"/>
        <v>0</v>
      </c>
      <c r="AB658" s="35">
        <f t="shared" si="426"/>
        <v>0</v>
      </c>
      <c r="AC658" s="35">
        <f t="shared" si="427"/>
        <v>647.80000000000007</v>
      </c>
      <c r="AD658" s="35">
        <f t="shared" si="428"/>
        <v>0</v>
      </c>
      <c r="AE658" s="35">
        <f t="shared" si="429"/>
        <v>0</v>
      </c>
      <c r="AF658" s="35">
        <f t="shared" si="430"/>
        <v>0</v>
      </c>
      <c r="AG658" s="35">
        <f t="shared" si="431"/>
        <v>0</v>
      </c>
      <c r="AH658" s="35">
        <f t="shared" si="432"/>
        <v>0</v>
      </c>
      <c r="AI658" s="77" t="s">
        <v>71</v>
      </c>
      <c r="AJ658" s="64">
        <f t="shared" si="433"/>
        <v>0</v>
      </c>
      <c r="AK658" s="64">
        <f t="shared" si="434"/>
        <v>0</v>
      </c>
      <c r="AL658" s="64">
        <f t="shared" si="435"/>
        <v>647.80000000000007</v>
      </c>
      <c r="AN658" s="35">
        <v>21</v>
      </c>
      <c r="AO658" s="35">
        <f t="shared" si="436"/>
        <v>0</v>
      </c>
      <c r="AP658" s="35">
        <f t="shared" si="437"/>
        <v>41</v>
      </c>
      <c r="AQ658" s="78" t="s">
        <v>109</v>
      </c>
      <c r="AV658" s="35">
        <f t="shared" si="438"/>
        <v>647.80000000000007</v>
      </c>
      <c r="AW658" s="35">
        <f t="shared" si="439"/>
        <v>0</v>
      </c>
      <c r="AX658" s="35">
        <f t="shared" si="440"/>
        <v>647.80000000000007</v>
      </c>
      <c r="AY658" s="80" t="s">
        <v>1706</v>
      </c>
      <c r="AZ658" s="80" t="s">
        <v>1764</v>
      </c>
      <c r="BA658" s="77" t="s">
        <v>1784</v>
      </c>
      <c r="BC658" s="35">
        <f t="shared" si="441"/>
        <v>647.80000000000007</v>
      </c>
      <c r="BD658" s="35">
        <f t="shared" si="442"/>
        <v>41</v>
      </c>
      <c r="BE658" s="35">
        <v>0</v>
      </c>
      <c r="BF658" s="35">
        <f>658</f>
        <v>658</v>
      </c>
      <c r="BH658" s="64">
        <f t="shared" si="443"/>
        <v>0</v>
      </c>
      <c r="BI658" s="64">
        <f t="shared" si="444"/>
        <v>647.80000000000007</v>
      </c>
      <c r="BJ658" s="64">
        <f t="shared" si="445"/>
        <v>647.80000000000007</v>
      </c>
      <c r="BK658" s="64" t="s">
        <v>1790</v>
      </c>
      <c r="BL658" s="35">
        <v>11</v>
      </c>
    </row>
    <row r="659" spans="1:64">
      <c r="A659" s="47" t="s">
        <v>643</v>
      </c>
      <c r="B659" s="55" t="s">
        <v>71</v>
      </c>
      <c r="C659" s="55" t="s">
        <v>1055</v>
      </c>
      <c r="D659" s="165" t="s">
        <v>1558</v>
      </c>
      <c r="E659" s="166"/>
      <c r="F659" s="166"/>
      <c r="G659" s="55" t="s">
        <v>1633</v>
      </c>
      <c r="H659" s="64">
        <v>2</v>
      </c>
      <c r="I659" s="64">
        <v>271</v>
      </c>
      <c r="J659" s="64">
        <f t="shared" si="422"/>
        <v>0</v>
      </c>
      <c r="K659" s="64">
        <f t="shared" si="423"/>
        <v>542</v>
      </c>
      <c r="L659" s="64">
        <f t="shared" si="424"/>
        <v>542</v>
      </c>
      <c r="M659" s="73" t="s">
        <v>1657</v>
      </c>
      <c r="N659" s="19"/>
      <c r="Z659" s="35">
        <f t="shared" si="425"/>
        <v>0</v>
      </c>
      <c r="AB659" s="35">
        <f t="shared" si="426"/>
        <v>0</v>
      </c>
      <c r="AC659" s="35">
        <f t="shared" si="427"/>
        <v>542</v>
      </c>
      <c r="AD659" s="35">
        <f t="shared" si="428"/>
        <v>0</v>
      </c>
      <c r="AE659" s="35">
        <f t="shared" si="429"/>
        <v>0</v>
      </c>
      <c r="AF659" s="35">
        <f t="shared" si="430"/>
        <v>0</v>
      </c>
      <c r="AG659" s="35">
        <f t="shared" si="431"/>
        <v>0</v>
      </c>
      <c r="AH659" s="35">
        <f t="shared" si="432"/>
        <v>0</v>
      </c>
      <c r="AI659" s="77" t="s">
        <v>71</v>
      </c>
      <c r="AJ659" s="64">
        <f t="shared" si="433"/>
        <v>0</v>
      </c>
      <c r="AK659" s="64">
        <f t="shared" si="434"/>
        <v>0</v>
      </c>
      <c r="AL659" s="64">
        <f t="shared" si="435"/>
        <v>542</v>
      </c>
      <c r="AN659" s="35">
        <v>21</v>
      </c>
      <c r="AO659" s="35">
        <f t="shared" si="436"/>
        <v>0</v>
      </c>
      <c r="AP659" s="35">
        <f t="shared" si="437"/>
        <v>271</v>
      </c>
      <c r="AQ659" s="78" t="s">
        <v>109</v>
      </c>
      <c r="AV659" s="35">
        <f t="shared" si="438"/>
        <v>542</v>
      </c>
      <c r="AW659" s="35">
        <f t="shared" si="439"/>
        <v>0</v>
      </c>
      <c r="AX659" s="35">
        <f t="shared" si="440"/>
        <v>542</v>
      </c>
      <c r="AY659" s="80" t="s">
        <v>1706</v>
      </c>
      <c r="AZ659" s="80" t="s">
        <v>1764</v>
      </c>
      <c r="BA659" s="77" t="s">
        <v>1784</v>
      </c>
      <c r="BC659" s="35">
        <f t="shared" si="441"/>
        <v>542</v>
      </c>
      <c r="BD659" s="35">
        <f t="shared" si="442"/>
        <v>271</v>
      </c>
      <c r="BE659" s="35">
        <v>0</v>
      </c>
      <c r="BF659" s="35">
        <f>659</f>
        <v>659</v>
      </c>
      <c r="BH659" s="64">
        <f t="shared" si="443"/>
        <v>0</v>
      </c>
      <c r="BI659" s="64">
        <f t="shared" si="444"/>
        <v>542</v>
      </c>
      <c r="BJ659" s="64">
        <f t="shared" si="445"/>
        <v>542</v>
      </c>
      <c r="BK659" s="64" t="s">
        <v>1790</v>
      </c>
      <c r="BL659" s="35">
        <v>11</v>
      </c>
    </row>
    <row r="660" spans="1:64">
      <c r="A660" s="47" t="s">
        <v>644</v>
      </c>
      <c r="B660" s="55" t="s">
        <v>71</v>
      </c>
      <c r="C660" s="55" t="s">
        <v>1056</v>
      </c>
      <c r="D660" s="165" t="s">
        <v>1559</v>
      </c>
      <c r="E660" s="166"/>
      <c r="F660" s="166"/>
      <c r="G660" s="55" t="s">
        <v>1633</v>
      </c>
      <c r="H660" s="64">
        <v>27</v>
      </c>
      <c r="I660" s="64">
        <v>345</v>
      </c>
      <c r="J660" s="64">
        <f t="shared" si="422"/>
        <v>0</v>
      </c>
      <c r="K660" s="64">
        <f t="shared" si="423"/>
        <v>9315</v>
      </c>
      <c r="L660" s="64">
        <f t="shared" si="424"/>
        <v>9315</v>
      </c>
      <c r="M660" s="73" t="s">
        <v>1657</v>
      </c>
      <c r="N660" s="19"/>
      <c r="Z660" s="35">
        <f t="shared" si="425"/>
        <v>0</v>
      </c>
      <c r="AB660" s="35">
        <f t="shared" si="426"/>
        <v>0</v>
      </c>
      <c r="AC660" s="35">
        <f t="shared" si="427"/>
        <v>9315</v>
      </c>
      <c r="AD660" s="35">
        <f t="shared" si="428"/>
        <v>0</v>
      </c>
      <c r="AE660" s="35">
        <f t="shared" si="429"/>
        <v>0</v>
      </c>
      <c r="AF660" s="35">
        <f t="shared" si="430"/>
        <v>0</v>
      </c>
      <c r="AG660" s="35">
        <f t="shared" si="431"/>
        <v>0</v>
      </c>
      <c r="AH660" s="35">
        <f t="shared" si="432"/>
        <v>0</v>
      </c>
      <c r="AI660" s="77" t="s">
        <v>71</v>
      </c>
      <c r="AJ660" s="64">
        <f t="shared" si="433"/>
        <v>0</v>
      </c>
      <c r="AK660" s="64">
        <f t="shared" si="434"/>
        <v>0</v>
      </c>
      <c r="AL660" s="64">
        <f t="shared" si="435"/>
        <v>9315</v>
      </c>
      <c r="AN660" s="35">
        <v>21</v>
      </c>
      <c r="AO660" s="35">
        <f t="shared" si="436"/>
        <v>0</v>
      </c>
      <c r="AP660" s="35">
        <f t="shared" si="437"/>
        <v>345</v>
      </c>
      <c r="AQ660" s="78" t="s">
        <v>109</v>
      </c>
      <c r="AV660" s="35">
        <f t="shared" si="438"/>
        <v>9315</v>
      </c>
      <c r="AW660" s="35">
        <f t="shared" si="439"/>
        <v>0</v>
      </c>
      <c r="AX660" s="35">
        <f t="shared" si="440"/>
        <v>9315</v>
      </c>
      <c r="AY660" s="80" t="s">
        <v>1706</v>
      </c>
      <c r="AZ660" s="80" t="s">
        <v>1764</v>
      </c>
      <c r="BA660" s="77" t="s">
        <v>1784</v>
      </c>
      <c r="BC660" s="35">
        <f t="shared" si="441"/>
        <v>9315</v>
      </c>
      <c r="BD660" s="35">
        <f t="shared" si="442"/>
        <v>345</v>
      </c>
      <c r="BE660" s="35">
        <v>0</v>
      </c>
      <c r="BF660" s="35">
        <f>660</f>
        <v>660</v>
      </c>
      <c r="BH660" s="64">
        <f t="shared" si="443"/>
        <v>0</v>
      </c>
      <c r="BI660" s="64">
        <f t="shared" si="444"/>
        <v>9315</v>
      </c>
      <c r="BJ660" s="64">
        <f t="shared" si="445"/>
        <v>9315</v>
      </c>
      <c r="BK660" s="64" t="s">
        <v>1790</v>
      </c>
      <c r="BL660" s="35">
        <v>11</v>
      </c>
    </row>
    <row r="661" spans="1:64">
      <c r="A661" s="47" t="s">
        <v>645</v>
      </c>
      <c r="B661" s="55" t="s">
        <v>71</v>
      </c>
      <c r="C661" s="55" t="s">
        <v>1057</v>
      </c>
      <c r="D661" s="165" t="s">
        <v>1560</v>
      </c>
      <c r="E661" s="166"/>
      <c r="F661" s="166"/>
      <c r="G661" s="55" t="s">
        <v>1633</v>
      </c>
      <c r="H661" s="64">
        <v>2</v>
      </c>
      <c r="I661" s="64">
        <v>212</v>
      </c>
      <c r="J661" s="64">
        <f t="shared" si="422"/>
        <v>0</v>
      </c>
      <c r="K661" s="64">
        <f t="shared" si="423"/>
        <v>424</v>
      </c>
      <c r="L661" s="64">
        <f t="shared" si="424"/>
        <v>424</v>
      </c>
      <c r="M661" s="73" t="s">
        <v>1657</v>
      </c>
      <c r="N661" s="19"/>
      <c r="Z661" s="35">
        <f t="shared" si="425"/>
        <v>0</v>
      </c>
      <c r="AB661" s="35">
        <f t="shared" si="426"/>
        <v>0</v>
      </c>
      <c r="AC661" s="35">
        <f t="shared" si="427"/>
        <v>424</v>
      </c>
      <c r="AD661" s="35">
        <f t="shared" si="428"/>
        <v>0</v>
      </c>
      <c r="AE661" s="35">
        <f t="shared" si="429"/>
        <v>0</v>
      </c>
      <c r="AF661" s="35">
        <f t="shared" si="430"/>
        <v>0</v>
      </c>
      <c r="AG661" s="35">
        <f t="shared" si="431"/>
        <v>0</v>
      </c>
      <c r="AH661" s="35">
        <f t="shared" si="432"/>
        <v>0</v>
      </c>
      <c r="AI661" s="77" t="s">
        <v>71</v>
      </c>
      <c r="AJ661" s="64">
        <f t="shared" si="433"/>
        <v>0</v>
      </c>
      <c r="AK661" s="64">
        <f t="shared" si="434"/>
        <v>0</v>
      </c>
      <c r="AL661" s="64">
        <f t="shared" si="435"/>
        <v>424</v>
      </c>
      <c r="AN661" s="35">
        <v>21</v>
      </c>
      <c r="AO661" s="35">
        <f t="shared" si="436"/>
        <v>0</v>
      </c>
      <c r="AP661" s="35">
        <f t="shared" si="437"/>
        <v>212</v>
      </c>
      <c r="AQ661" s="78" t="s">
        <v>109</v>
      </c>
      <c r="AV661" s="35">
        <f t="shared" si="438"/>
        <v>424</v>
      </c>
      <c r="AW661" s="35">
        <f t="shared" si="439"/>
        <v>0</v>
      </c>
      <c r="AX661" s="35">
        <f t="shared" si="440"/>
        <v>424</v>
      </c>
      <c r="AY661" s="80" t="s">
        <v>1706</v>
      </c>
      <c r="AZ661" s="80" t="s">
        <v>1764</v>
      </c>
      <c r="BA661" s="77" t="s">
        <v>1784</v>
      </c>
      <c r="BC661" s="35">
        <f t="shared" si="441"/>
        <v>424</v>
      </c>
      <c r="BD661" s="35">
        <f t="shared" si="442"/>
        <v>212</v>
      </c>
      <c r="BE661" s="35">
        <v>0</v>
      </c>
      <c r="BF661" s="35">
        <f>661</f>
        <v>661</v>
      </c>
      <c r="BH661" s="64">
        <f t="shared" si="443"/>
        <v>0</v>
      </c>
      <c r="BI661" s="64">
        <f t="shared" si="444"/>
        <v>424</v>
      </c>
      <c r="BJ661" s="64">
        <f t="shared" si="445"/>
        <v>424</v>
      </c>
      <c r="BK661" s="64" t="s">
        <v>1790</v>
      </c>
      <c r="BL661" s="35">
        <v>11</v>
      </c>
    </row>
    <row r="662" spans="1:64">
      <c r="A662" s="46"/>
      <c r="B662" s="54" t="s">
        <v>71</v>
      </c>
      <c r="C662" s="54" t="s">
        <v>168</v>
      </c>
      <c r="D662" s="163" t="s">
        <v>218</v>
      </c>
      <c r="E662" s="164"/>
      <c r="F662" s="164"/>
      <c r="G662" s="61" t="s">
        <v>57</v>
      </c>
      <c r="H662" s="61" t="s">
        <v>57</v>
      </c>
      <c r="I662" s="61" t="s">
        <v>57</v>
      </c>
      <c r="J662" s="83">
        <f>SUM(J663:J663)</f>
        <v>0</v>
      </c>
      <c r="K662" s="83">
        <f>SUM(K663:K663)</f>
        <v>886.95</v>
      </c>
      <c r="L662" s="83">
        <f>SUM(L663:L663)</f>
        <v>886.95</v>
      </c>
      <c r="M662" s="72"/>
      <c r="N662" s="19"/>
      <c r="AI662" s="77" t="s">
        <v>71</v>
      </c>
      <c r="AS662" s="83">
        <f>SUM(AJ663:AJ663)</f>
        <v>0</v>
      </c>
      <c r="AT662" s="83">
        <f>SUM(AK663:AK663)</f>
        <v>0</v>
      </c>
      <c r="AU662" s="83">
        <f>SUM(AL663:AL663)</f>
        <v>886.95</v>
      </c>
    </row>
    <row r="663" spans="1:64">
      <c r="A663" s="47" t="s">
        <v>646</v>
      </c>
      <c r="B663" s="55" t="s">
        <v>71</v>
      </c>
      <c r="C663" s="55" t="s">
        <v>1058</v>
      </c>
      <c r="D663" s="165" t="s">
        <v>1561</v>
      </c>
      <c r="E663" s="166"/>
      <c r="F663" s="166"/>
      <c r="G663" s="55" t="s">
        <v>1638</v>
      </c>
      <c r="H663" s="64">
        <v>16.425000000000001</v>
      </c>
      <c r="I663" s="64">
        <v>54</v>
      </c>
      <c r="J663" s="64">
        <f>H663*AO663</f>
        <v>0</v>
      </c>
      <c r="K663" s="64">
        <f>H663*AP663</f>
        <v>886.95</v>
      </c>
      <c r="L663" s="64">
        <f>H663*I663</f>
        <v>886.95</v>
      </c>
      <c r="M663" s="73" t="s">
        <v>1657</v>
      </c>
      <c r="N663" s="19"/>
      <c r="Z663" s="35">
        <f>IF(AQ663="5",BJ663,0)</f>
        <v>0</v>
      </c>
      <c r="AB663" s="35">
        <f>IF(AQ663="1",BH663,0)</f>
        <v>0</v>
      </c>
      <c r="AC663" s="35">
        <f>IF(AQ663="1",BI663,0)</f>
        <v>886.95</v>
      </c>
      <c r="AD663" s="35">
        <f>IF(AQ663="7",BH663,0)</f>
        <v>0</v>
      </c>
      <c r="AE663" s="35">
        <f>IF(AQ663="7",BI663,0)</f>
        <v>0</v>
      </c>
      <c r="AF663" s="35">
        <f>IF(AQ663="2",BH663,0)</f>
        <v>0</v>
      </c>
      <c r="AG663" s="35">
        <f>IF(AQ663="2",BI663,0)</f>
        <v>0</v>
      </c>
      <c r="AH663" s="35">
        <f>IF(AQ663="0",BJ663,0)</f>
        <v>0</v>
      </c>
      <c r="AI663" s="77" t="s">
        <v>71</v>
      </c>
      <c r="AJ663" s="64">
        <f>IF(AN663=0,L663,0)</f>
        <v>0</v>
      </c>
      <c r="AK663" s="64">
        <f>IF(AN663=15,L663,0)</f>
        <v>0</v>
      </c>
      <c r="AL663" s="64">
        <f>IF(AN663=21,L663,0)</f>
        <v>886.95</v>
      </c>
      <c r="AN663" s="35">
        <v>21</v>
      </c>
      <c r="AO663" s="35">
        <f>I663*0</f>
        <v>0</v>
      </c>
      <c r="AP663" s="35">
        <f>I663*(1-0)</f>
        <v>54</v>
      </c>
      <c r="AQ663" s="78" t="s">
        <v>109</v>
      </c>
      <c r="AV663" s="35">
        <f>AW663+AX663</f>
        <v>886.95</v>
      </c>
      <c r="AW663" s="35">
        <f>H663*AO663</f>
        <v>0</v>
      </c>
      <c r="AX663" s="35">
        <f>H663*AP663</f>
        <v>886.95</v>
      </c>
      <c r="AY663" s="80" t="s">
        <v>1707</v>
      </c>
      <c r="AZ663" s="80" t="s">
        <v>1764</v>
      </c>
      <c r="BA663" s="77" t="s">
        <v>1784</v>
      </c>
      <c r="BC663" s="35">
        <f>AW663+AX663</f>
        <v>886.95</v>
      </c>
      <c r="BD663" s="35">
        <f>I663/(100-BE663)*100</f>
        <v>54</v>
      </c>
      <c r="BE663" s="35">
        <v>0</v>
      </c>
      <c r="BF663" s="35">
        <f>663</f>
        <v>663</v>
      </c>
      <c r="BH663" s="64">
        <f>H663*AO663</f>
        <v>0</v>
      </c>
      <c r="BI663" s="64">
        <f>H663*AP663</f>
        <v>886.95</v>
      </c>
      <c r="BJ663" s="64">
        <f>H663*I663</f>
        <v>886.95</v>
      </c>
      <c r="BK663" s="64" t="s">
        <v>1790</v>
      </c>
      <c r="BL663" s="35">
        <v>12</v>
      </c>
    </row>
    <row r="664" spans="1:64">
      <c r="A664" s="46"/>
      <c r="B664" s="54" t="s">
        <v>71</v>
      </c>
      <c r="C664" s="54" t="s">
        <v>169</v>
      </c>
      <c r="D664" s="163" t="s">
        <v>219</v>
      </c>
      <c r="E664" s="164"/>
      <c r="F664" s="164"/>
      <c r="G664" s="61" t="s">
        <v>57</v>
      </c>
      <c r="H664" s="61" t="s">
        <v>57</v>
      </c>
      <c r="I664" s="61" t="s">
        <v>57</v>
      </c>
      <c r="J664" s="83">
        <f>SUM(J665:J669)</f>
        <v>0</v>
      </c>
      <c r="K664" s="83">
        <f>SUM(K665:K669)</f>
        <v>96503.660999999993</v>
      </c>
      <c r="L664" s="83">
        <f>SUM(L665:L669)</f>
        <v>96503.660999999993</v>
      </c>
      <c r="M664" s="72"/>
      <c r="N664" s="19"/>
      <c r="AI664" s="77" t="s">
        <v>71</v>
      </c>
      <c r="AS664" s="83">
        <f>SUM(AJ665:AJ669)</f>
        <v>0</v>
      </c>
      <c r="AT664" s="83">
        <f>SUM(AK665:AK669)</f>
        <v>0</v>
      </c>
      <c r="AU664" s="83">
        <f>SUM(AL665:AL669)</f>
        <v>96503.660999999993</v>
      </c>
    </row>
    <row r="665" spans="1:64">
      <c r="A665" s="47" t="s">
        <v>647</v>
      </c>
      <c r="B665" s="55" t="s">
        <v>71</v>
      </c>
      <c r="C665" s="55" t="s">
        <v>1059</v>
      </c>
      <c r="D665" s="165" t="s">
        <v>1562</v>
      </c>
      <c r="E665" s="166"/>
      <c r="F665" s="166"/>
      <c r="G665" s="55" t="s">
        <v>1638</v>
      </c>
      <c r="H665" s="64">
        <v>102.4455</v>
      </c>
      <c r="I665" s="64">
        <v>232</v>
      </c>
      <c r="J665" s="64">
        <f>H665*AO665</f>
        <v>0</v>
      </c>
      <c r="K665" s="64">
        <f>H665*AP665</f>
        <v>23767.356</v>
      </c>
      <c r="L665" s="64">
        <f>H665*I665</f>
        <v>23767.356</v>
      </c>
      <c r="M665" s="73" t="s">
        <v>1657</v>
      </c>
      <c r="N665" s="19"/>
      <c r="Z665" s="35">
        <f>IF(AQ665="5",BJ665,0)</f>
        <v>0</v>
      </c>
      <c r="AB665" s="35">
        <f>IF(AQ665="1",BH665,0)</f>
        <v>0</v>
      </c>
      <c r="AC665" s="35">
        <f>IF(AQ665="1",BI665,0)</f>
        <v>23767.356</v>
      </c>
      <c r="AD665" s="35">
        <f>IF(AQ665="7",BH665,0)</f>
        <v>0</v>
      </c>
      <c r="AE665" s="35">
        <f>IF(AQ665="7",BI665,0)</f>
        <v>0</v>
      </c>
      <c r="AF665" s="35">
        <f>IF(AQ665="2",BH665,0)</f>
        <v>0</v>
      </c>
      <c r="AG665" s="35">
        <f>IF(AQ665="2",BI665,0)</f>
        <v>0</v>
      </c>
      <c r="AH665" s="35">
        <f>IF(AQ665="0",BJ665,0)</f>
        <v>0</v>
      </c>
      <c r="AI665" s="77" t="s">
        <v>71</v>
      </c>
      <c r="AJ665" s="64">
        <f>IF(AN665=0,L665,0)</f>
        <v>0</v>
      </c>
      <c r="AK665" s="64">
        <f>IF(AN665=15,L665,0)</f>
        <v>0</v>
      </c>
      <c r="AL665" s="64">
        <f>IF(AN665=21,L665,0)</f>
        <v>23767.356</v>
      </c>
      <c r="AN665" s="35">
        <v>21</v>
      </c>
      <c r="AO665" s="35">
        <f>I665*0</f>
        <v>0</v>
      </c>
      <c r="AP665" s="35">
        <f>I665*(1-0)</f>
        <v>232</v>
      </c>
      <c r="AQ665" s="78" t="s">
        <v>109</v>
      </c>
      <c r="AV665" s="35">
        <f>AW665+AX665</f>
        <v>23767.356</v>
      </c>
      <c r="AW665" s="35">
        <f>H665*AO665</f>
        <v>0</v>
      </c>
      <c r="AX665" s="35">
        <f>H665*AP665</f>
        <v>23767.356</v>
      </c>
      <c r="AY665" s="80" t="s">
        <v>1708</v>
      </c>
      <c r="AZ665" s="80" t="s">
        <v>1764</v>
      </c>
      <c r="BA665" s="77" t="s">
        <v>1784</v>
      </c>
      <c r="BC665" s="35">
        <f>AW665+AX665</f>
        <v>23767.356</v>
      </c>
      <c r="BD665" s="35">
        <f>I665/(100-BE665)*100</f>
        <v>231.99999999999997</v>
      </c>
      <c r="BE665" s="35">
        <v>0</v>
      </c>
      <c r="BF665" s="35">
        <f>665</f>
        <v>665</v>
      </c>
      <c r="BH665" s="64">
        <f>H665*AO665</f>
        <v>0</v>
      </c>
      <c r="BI665" s="64">
        <f>H665*AP665</f>
        <v>23767.356</v>
      </c>
      <c r="BJ665" s="64">
        <f>H665*I665</f>
        <v>23767.356</v>
      </c>
      <c r="BK665" s="64" t="s">
        <v>1790</v>
      </c>
      <c r="BL665" s="35">
        <v>16</v>
      </c>
    </row>
    <row r="666" spans="1:64">
      <c r="A666" s="47" t="s">
        <v>648</v>
      </c>
      <c r="B666" s="55" t="s">
        <v>71</v>
      </c>
      <c r="C666" s="55" t="s">
        <v>1060</v>
      </c>
      <c r="D666" s="165" t="s">
        <v>1563</v>
      </c>
      <c r="E666" s="166"/>
      <c r="F666" s="166"/>
      <c r="G666" s="55" t="s">
        <v>1638</v>
      </c>
      <c r="H666" s="64">
        <v>102.4455</v>
      </c>
      <c r="I666" s="64">
        <v>189</v>
      </c>
      <c r="J666" s="64">
        <f>H666*AO666</f>
        <v>0</v>
      </c>
      <c r="K666" s="64">
        <f>H666*AP666</f>
        <v>19362.199499999999</v>
      </c>
      <c r="L666" s="64">
        <f>H666*I666</f>
        <v>19362.199499999999</v>
      </c>
      <c r="M666" s="73" t="s">
        <v>1657</v>
      </c>
      <c r="N666" s="19"/>
      <c r="Z666" s="35">
        <f>IF(AQ666="5",BJ666,0)</f>
        <v>0</v>
      </c>
      <c r="AB666" s="35">
        <f>IF(AQ666="1",BH666,0)</f>
        <v>0</v>
      </c>
      <c r="AC666" s="35">
        <f>IF(AQ666="1",BI666,0)</f>
        <v>19362.199499999999</v>
      </c>
      <c r="AD666" s="35">
        <f>IF(AQ666="7",BH666,0)</f>
        <v>0</v>
      </c>
      <c r="AE666" s="35">
        <f>IF(AQ666="7",BI666,0)</f>
        <v>0</v>
      </c>
      <c r="AF666" s="35">
        <f>IF(AQ666="2",BH666,0)</f>
        <v>0</v>
      </c>
      <c r="AG666" s="35">
        <f>IF(AQ666="2",BI666,0)</f>
        <v>0</v>
      </c>
      <c r="AH666" s="35">
        <f>IF(AQ666="0",BJ666,0)</f>
        <v>0</v>
      </c>
      <c r="AI666" s="77" t="s">
        <v>71</v>
      </c>
      <c r="AJ666" s="64">
        <f>IF(AN666=0,L666,0)</f>
        <v>0</v>
      </c>
      <c r="AK666" s="64">
        <f>IF(AN666=15,L666,0)</f>
        <v>0</v>
      </c>
      <c r="AL666" s="64">
        <f>IF(AN666=21,L666,0)</f>
        <v>19362.199499999999</v>
      </c>
      <c r="AN666" s="35">
        <v>21</v>
      </c>
      <c r="AO666" s="35">
        <f>I666*0</f>
        <v>0</v>
      </c>
      <c r="AP666" s="35">
        <f>I666*(1-0)</f>
        <v>189</v>
      </c>
      <c r="AQ666" s="78" t="s">
        <v>109</v>
      </c>
      <c r="AV666" s="35">
        <f>AW666+AX666</f>
        <v>19362.199499999999</v>
      </c>
      <c r="AW666" s="35">
        <f>H666*AO666</f>
        <v>0</v>
      </c>
      <c r="AX666" s="35">
        <f>H666*AP666</f>
        <v>19362.199499999999</v>
      </c>
      <c r="AY666" s="80" t="s">
        <v>1708</v>
      </c>
      <c r="AZ666" s="80" t="s">
        <v>1764</v>
      </c>
      <c r="BA666" s="77" t="s">
        <v>1784</v>
      </c>
      <c r="BC666" s="35">
        <f>AW666+AX666</f>
        <v>19362.199499999999</v>
      </c>
      <c r="BD666" s="35">
        <f>I666/(100-BE666)*100</f>
        <v>189</v>
      </c>
      <c r="BE666" s="35">
        <v>0</v>
      </c>
      <c r="BF666" s="35">
        <f>666</f>
        <v>666</v>
      </c>
      <c r="BH666" s="64">
        <f>H666*AO666</f>
        <v>0</v>
      </c>
      <c r="BI666" s="64">
        <f>H666*AP666</f>
        <v>19362.199499999999</v>
      </c>
      <c r="BJ666" s="64">
        <f>H666*I666</f>
        <v>19362.199499999999</v>
      </c>
      <c r="BK666" s="64" t="s">
        <v>1790</v>
      </c>
      <c r="BL666" s="35">
        <v>16</v>
      </c>
    </row>
    <row r="667" spans="1:64">
      <c r="A667" s="47" t="s">
        <v>649</v>
      </c>
      <c r="B667" s="55" t="s">
        <v>71</v>
      </c>
      <c r="C667" s="55" t="s">
        <v>1061</v>
      </c>
      <c r="D667" s="165" t="s">
        <v>1564</v>
      </c>
      <c r="E667" s="166"/>
      <c r="F667" s="166"/>
      <c r="G667" s="55" t="s">
        <v>1638</v>
      </c>
      <c r="H667" s="64">
        <v>102.4455</v>
      </c>
      <c r="I667" s="64">
        <v>202</v>
      </c>
      <c r="J667" s="64">
        <f>H667*AO667</f>
        <v>0</v>
      </c>
      <c r="K667" s="64">
        <f>H667*AP667</f>
        <v>20693.990999999998</v>
      </c>
      <c r="L667" s="64">
        <f>H667*I667</f>
        <v>20693.990999999998</v>
      </c>
      <c r="M667" s="73" t="s">
        <v>1657</v>
      </c>
      <c r="N667" s="19"/>
      <c r="Z667" s="35">
        <f>IF(AQ667="5",BJ667,0)</f>
        <v>0</v>
      </c>
      <c r="AB667" s="35">
        <f>IF(AQ667="1",BH667,0)</f>
        <v>0</v>
      </c>
      <c r="AC667" s="35">
        <f>IF(AQ667="1",BI667,0)</f>
        <v>20693.990999999998</v>
      </c>
      <c r="AD667" s="35">
        <f>IF(AQ667="7",BH667,0)</f>
        <v>0</v>
      </c>
      <c r="AE667" s="35">
        <f>IF(AQ667="7",BI667,0)</f>
        <v>0</v>
      </c>
      <c r="AF667" s="35">
        <f>IF(AQ667="2",BH667,0)</f>
        <v>0</v>
      </c>
      <c r="AG667" s="35">
        <f>IF(AQ667="2",BI667,0)</f>
        <v>0</v>
      </c>
      <c r="AH667" s="35">
        <f>IF(AQ667="0",BJ667,0)</f>
        <v>0</v>
      </c>
      <c r="AI667" s="77" t="s">
        <v>71</v>
      </c>
      <c r="AJ667" s="64">
        <f>IF(AN667=0,L667,0)</f>
        <v>0</v>
      </c>
      <c r="AK667" s="64">
        <f>IF(AN667=15,L667,0)</f>
        <v>0</v>
      </c>
      <c r="AL667" s="64">
        <f>IF(AN667=21,L667,0)</f>
        <v>20693.990999999998</v>
      </c>
      <c r="AN667" s="35">
        <v>21</v>
      </c>
      <c r="AO667" s="35">
        <f>I667*0</f>
        <v>0</v>
      </c>
      <c r="AP667" s="35">
        <f>I667*(1-0)</f>
        <v>202</v>
      </c>
      <c r="AQ667" s="78" t="s">
        <v>109</v>
      </c>
      <c r="AV667" s="35">
        <f>AW667+AX667</f>
        <v>20693.990999999998</v>
      </c>
      <c r="AW667" s="35">
        <f>H667*AO667</f>
        <v>0</v>
      </c>
      <c r="AX667" s="35">
        <f>H667*AP667</f>
        <v>20693.990999999998</v>
      </c>
      <c r="AY667" s="80" t="s">
        <v>1708</v>
      </c>
      <c r="AZ667" s="80" t="s">
        <v>1764</v>
      </c>
      <c r="BA667" s="77" t="s">
        <v>1784</v>
      </c>
      <c r="BC667" s="35">
        <f>AW667+AX667</f>
        <v>20693.990999999998</v>
      </c>
      <c r="BD667" s="35">
        <f>I667/(100-BE667)*100</f>
        <v>202</v>
      </c>
      <c r="BE667" s="35">
        <v>0</v>
      </c>
      <c r="BF667" s="35">
        <f>667</f>
        <v>667</v>
      </c>
      <c r="BH667" s="64">
        <f>H667*AO667</f>
        <v>0</v>
      </c>
      <c r="BI667" s="64">
        <f>H667*AP667</f>
        <v>20693.990999999998</v>
      </c>
      <c r="BJ667" s="64">
        <f>H667*I667</f>
        <v>20693.990999999998</v>
      </c>
      <c r="BK667" s="64" t="s">
        <v>1790</v>
      </c>
      <c r="BL667" s="35">
        <v>16</v>
      </c>
    </row>
    <row r="668" spans="1:64">
      <c r="A668" s="47" t="s">
        <v>650</v>
      </c>
      <c r="B668" s="55" t="s">
        <v>71</v>
      </c>
      <c r="C668" s="55" t="s">
        <v>1062</v>
      </c>
      <c r="D668" s="165" t="s">
        <v>1565</v>
      </c>
      <c r="E668" s="166"/>
      <c r="F668" s="166"/>
      <c r="G668" s="55" t="s">
        <v>1638</v>
      </c>
      <c r="H668" s="64">
        <v>102.4455</v>
      </c>
      <c r="I668" s="64">
        <v>190</v>
      </c>
      <c r="J668" s="64">
        <f>H668*AO668</f>
        <v>0</v>
      </c>
      <c r="K668" s="64">
        <f>H668*AP668</f>
        <v>19464.645</v>
      </c>
      <c r="L668" s="64">
        <f>H668*I668</f>
        <v>19464.645</v>
      </c>
      <c r="M668" s="73" t="s">
        <v>1657</v>
      </c>
      <c r="N668" s="19"/>
      <c r="Z668" s="35">
        <f>IF(AQ668="5",BJ668,0)</f>
        <v>0</v>
      </c>
      <c r="AB668" s="35">
        <f>IF(AQ668="1",BH668,0)</f>
        <v>0</v>
      </c>
      <c r="AC668" s="35">
        <f>IF(AQ668="1",BI668,0)</f>
        <v>19464.645</v>
      </c>
      <c r="AD668" s="35">
        <f>IF(AQ668="7",BH668,0)</f>
        <v>0</v>
      </c>
      <c r="AE668" s="35">
        <f>IF(AQ668="7",BI668,0)</f>
        <v>0</v>
      </c>
      <c r="AF668" s="35">
        <f>IF(AQ668="2",BH668,0)</f>
        <v>0</v>
      </c>
      <c r="AG668" s="35">
        <f>IF(AQ668="2",BI668,0)</f>
        <v>0</v>
      </c>
      <c r="AH668" s="35">
        <f>IF(AQ668="0",BJ668,0)</f>
        <v>0</v>
      </c>
      <c r="AI668" s="77" t="s">
        <v>71</v>
      </c>
      <c r="AJ668" s="64">
        <f>IF(AN668=0,L668,0)</f>
        <v>0</v>
      </c>
      <c r="AK668" s="64">
        <f>IF(AN668=15,L668,0)</f>
        <v>0</v>
      </c>
      <c r="AL668" s="64">
        <f>IF(AN668=21,L668,0)</f>
        <v>19464.645</v>
      </c>
      <c r="AN668" s="35">
        <v>21</v>
      </c>
      <c r="AO668" s="35">
        <f>I668*0</f>
        <v>0</v>
      </c>
      <c r="AP668" s="35">
        <f>I668*(1-0)</f>
        <v>190</v>
      </c>
      <c r="AQ668" s="78" t="s">
        <v>109</v>
      </c>
      <c r="AV668" s="35">
        <f>AW668+AX668</f>
        <v>19464.645</v>
      </c>
      <c r="AW668" s="35">
        <f>H668*AO668</f>
        <v>0</v>
      </c>
      <c r="AX668" s="35">
        <f>H668*AP668</f>
        <v>19464.645</v>
      </c>
      <c r="AY668" s="80" t="s">
        <v>1708</v>
      </c>
      <c r="AZ668" s="80" t="s">
        <v>1764</v>
      </c>
      <c r="BA668" s="77" t="s">
        <v>1784</v>
      </c>
      <c r="BC668" s="35">
        <f>AW668+AX668</f>
        <v>19464.645</v>
      </c>
      <c r="BD668" s="35">
        <f>I668/(100-BE668)*100</f>
        <v>190</v>
      </c>
      <c r="BE668" s="35">
        <v>0</v>
      </c>
      <c r="BF668" s="35">
        <f>668</f>
        <v>668</v>
      </c>
      <c r="BH668" s="64">
        <f>H668*AO668</f>
        <v>0</v>
      </c>
      <c r="BI668" s="64">
        <f>H668*AP668</f>
        <v>19464.645</v>
      </c>
      <c r="BJ668" s="64">
        <f>H668*I668</f>
        <v>19464.645</v>
      </c>
      <c r="BK668" s="64" t="s">
        <v>1790</v>
      </c>
      <c r="BL668" s="35">
        <v>16</v>
      </c>
    </row>
    <row r="669" spans="1:64">
      <c r="A669" s="47" t="s">
        <v>651</v>
      </c>
      <c r="B669" s="55" t="s">
        <v>71</v>
      </c>
      <c r="C669" s="55" t="s">
        <v>1063</v>
      </c>
      <c r="D669" s="165" t="s">
        <v>1566</v>
      </c>
      <c r="E669" s="166"/>
      <c r="F669" s="166"/>
      <c r="G669" s="55" t="s">
        <v>1638</v>
      </c>
      <c r="H669" s="64">
        <v>102.4455</v>
      </c>
      <c r="I669" s="64">
        <v>129</v>
      </c>
      <c r="J669" s="64">
        <f>H669*AO669</f>
        <v>0</v>
      </c>
      <c r="K669" s="64">
        <f>H669*AP669</f>
        <v>13215.469499999999</v>
      </c>
      <c r="L669" s="64">
        <f>H669*I669</f>
        <v>13215.469499999999</v>
      </c>
      <c r="M669" s="73" t="s">
        <v>1657</v>
      </c>
      <c r="N669" s="19"/>
      <c r="Z669" s="35">
        <f>IF(AQ669="5",BJ669,0)</f>
        <v>0</v>
      </c>
      <c r="AB669" s="35">
        <f>IF(AQ669="1",BH669,0)</f>
        <v>0</v>
      </c>
      <c r="AC669" s="35">
        <f>IF(AQ669="1",BI669,0)</f>
        <v>13215.469499999999</v>
      </c>
      <c r="AD669" s="35">
        <f>IF(AQ669="7",BH669,0)</f>
        <v>0</v>
      </c>
      <c r="AE669" s="35">
        <f>IF(AQ669="7",BI669,0)</f>
        <v>0</v>
      </c>
      <c r="AF669" s="35">
        <f>IF(AQ669="2",BH669,0)</f>
        <v>0</v>
      </c>
      <c r="AG669" s="35">
        <f>IF(AQ669="2",BI669,0)</f>
        <v>0</v>
      </c>
      <c r="AH669" s="35">
        <f>IF(AQ669="0",BJ669,0)</f>
        <v>0</v>
      </c>
      <c r="AI669" s="77" t="s">
        <v>71</v>
      </c>
      <c r="AJ669" s="64">
        <f>IF(AN669=0,L669,0)</f>
        <v>0</v>
      </c>
      <c r="AK669" s="64">
        <f>IF(AN669=15,L669,0)</f>
        <v>0</v>
      </c>
      <c r="AL669" s="64">
        <f>IF(AN669=21,L669,0)</f>
        <v>13215.469499999999</v>
      </c>
      <c r="AN669" s="35">
        <v>21</v>
      </c>
      <c r="AO669" s="35">
        <f>I669*0</f>
        <v>0</v>
      </c>
      <c r="AP669" s="35">
        <f>I669*(1-0)</f>
        <v>129</v>
      </c>
      <c r="AQ669" s="78" t="s">
        <v>109</v>
      </c>
      <c r="AV669" s="35">
        <f>AW669+AX669</f>
        <v>13215.469499999999</v>
      </c>
      <c r="AW669" s="35">
        <f>H669*AO669</f>
        <v>0</v>
      </c>
      <c r="AX669" s="35">
        <f>H669*AP669</f>
        <v>13215.469499999999</v>
      </c>
      <c r="AY669" s="80" t="s">
        <v>1708</v>
      </c>
      <c r="AZ669" s="80" t="s">
        <v>1764</v>
      </c>
      <c r="BA669" s="77" t="s">
        <v>1784</v>
      </c>
      <c r="BC669" s="35">
        <f>AW669+AX669</f>
        <v>13215.469499999999</v>
      </c>
      <c r="BD669" s="35">
        <f>I669/(100-BE669)*100</f>
        <v>129</v>
      </c>
      <c r="BE669" s="35">
        <v>0</v>
      </c>
      <c r="BF669" s="35">
        <f>669</f>
        <v>669</v>
      </c>
      <c r="BH669" s="64">
        <f>H669*AO669</f>
        <v>0</v>
      </c>
      <c r="BI669" s="64">
        <f>H669*AP669</f>
        <v>13215.469499999999</v>
      </c>
      <c r="BJ669" s="64">
        <f>H669*I669</f>
        <v>13215.469499999999</v>
      </c>
      <c r="BK669" s="64" t="s">
        <v>1790</v>
      </c>
      <c r="BL669" s="35">
        <v>16</v>
      </c>
    </row>
    <row r="670" spans="1:64">
      <c r="A670" s="46"/>
      <c r="B670" s="54" t="s">
        <v>71</v>
      </c>
      <c r="C670" s="54" t="s">
        <v>170</v>
      </c>
      <c r="D670" s="163" t="s">
        <v>220</v>
      </c>
      <c r="E670" s="164"/>
      <c r="F670" s="164"/>
      <c r="G670" s="61" t="s">
        <v>57</v>
      </c>
      <c r="H670" s="61" t="s">
        <v>57</v>
      </c>
      <c r="I670" s="61" t="s">
        <v>57</v>
      </c>
      <c r="J670" s="83">
        <f>SUM(J671:J675)</f>
        <v>50403.880799999999</v>
      </c>
      <c r="K670" s="83">
        <f>SUM(K671:K675)</f>
        <v>56632.140000000007</v>
      </c>
      <c r="L670" s="83">
        <f>SUM(L671:L675)</f>
        <v>107036.0208</v>
      </c>
      <c r="M670" s="72"/>
      <c r="N670" s="19"/>
      <c r="AI670" s="77" t="s">
        <v>71</v>
      </c>
      <c r="AS670" s="83">
        <f>SUM(AJ671:AJ675)</f>
        <v>0</v>
      </c>
      <c r="AT670" s="83">
        <f>SUM(AK671:AK675)</f>
        <v>0</v>
      </c>
      <c r="AU670" s="83">
        <f>SUM(AL671:AL675)</f>
        <v>107036.0208</v>
      </c>
    </row>
    <row r="671" spans="1:64">
      <c r="A671" s="47" t="s">
        <v>652</v>
      </c>
      <c r="B671" s="55" t="s">
        <v>71</v>
      </c>
      <c r="C671" s="55" t="s">
        <v>1064</v>
      </c>
      <c r="D671" s="165" t="s">
        <v>1443</v>
      </c>
      <c r="E671" s="166"/>
      <c r="F671" s="166"/>
      <c r="G671" s="55" t="s">
        <v>1638</v>
      </c>
      <c r="H671" s="64">
        <v>90.514499999999998</v>
      </c>
      <c r="I671" s="64">
        <v>89</v>
      </c>
      <c r="J671" s="64">
        <f>H671*AO671</f>
        <v>0</v>
      </c>
      <c r="K671" s="64">
        <f>H671*AP671</f>
        <v>8055.7905000000001</v>
      </c>
      <c r="L671" s="64">
        <f>H671*I671</f>
        <v>8055.7905000000001</v>
      </c>
      <c r="M671" s="73" t="s">
        <v>1657</v>
      </c>
      <c r="N671" s="19"/>
      <c r="Z671" s="35">
        <f>IF(AQ671="5",BJ671,0)</f>
        <v>0</v>
      </c>
      <c r="AB671" s="35">
        <f>IF(AQ671="1",BH671,0)</f>
        <v>0</v>
      </c>
      <c r="AC671" s="35">
        <f>IF(AQ671="1",BI671,0)</f>
        <v>8055.7905000000001</v>
      </c>
      <c r="AD671" s="35">
        <f>IF(AQ671="7",BH671,0)</f>
        <v>0</v>
      </c>
      <c r="AE671" s="35">
        <f>IF(AQ671="7",BI671,0)</f>
        <v>0</v>
      </c>
      <c r="AF671" s="35">
        <f>IF(AQ671="2",BH671,0)</f>
        <v>0</v>
      </c>
      <c r="AG671" s="35">
        <f>IF(AQ671="2",BI671,0)</f>
        <v>0</v>
      </c>
      <c r="AH671" s="35">
        <f>IF(AQ671="0",BJ671,0)</f>
        <v>0</v>
      </c>
      <c r="AI671" s="77" t="s">
        <v>71</v>
      </c>
      <c r="AJ671" s="64">
        <f>IF(AN671=0,L671,0)</f>
        <v>0</v>
      </c>
      <c r="AK671" s="64">
        <f>IF(AN671=15,L671,0)</f>
        <v>0</v>
      </c>
      <c r="AL671" s="64">
        <f>IF(AN671=21,L671,0)</f>
        <v>8055.7905000000001</v>
      </c>
      <c r="AN671" s="35">
        <v>21</v>
      </c>
      <c r="AO671" s="35">
        <f>I671*0</f>
        <v>0</v>
      </c>
      <c r="AP671" s="35">
        <f>I671*(1-0)</f>
        <v>89</v>
      </c>
      <c r="AQ671" s="78" t="s">
        <v>109</v>
      </c>
      <c r="AV671" s="35">
        <f>AW671+AX671</f>
        <v>8055.7905000000001</v>
      </c>
      <c r="AW671" s="35">
        <f>H671*AO671</f>
        <v>0</v>
      </c>
      <c r="AX671" s="35">
        <f>H671*AP671</f>
        <v>8055.7905000000001</v>
      </c>
      <c r="AY671" s="80" t="s">
        <v>1709</v>
      </c>
      <c r="AZ671" s="80" t="s">
        <v>1764</v>
      </c>
      <c r="BA671" s="77" t="s">
        <v>1784</v>
      </c>
      <c r="BC671" s="35">
        <f>AW671+AX671</f>
        <v>8055.7905000000001</v>
      </c>
      <c r="BD671" s="35">
        <f>I671/(100-BE671)*100</f>
        <v>89</v>
      </c>
      <c r="BE671" s="35">
        <v>0</v>
      </c>
      <c r="BF671" s="35">
        <f>671</f>
        <v>671</v>
      </c>
      <c r="BH671" s="64">
        <f>H671*AO671</f>
        <v>0</v>
      </c>
      <c r="BI671" s="64">
        <f>H671*AP671</f>
        <v>8055.7905000000001</v>
      </c>
      <c r="BJ671" s="64">
        <f>H671*I671</f>
        <v>8055.7905000000001</v>
      </c>
      <c r="BK671" s="64" t="s">
        <v>1790</v>
      </c>
      <c r="BL671" s="35">
        <v>17</v>
      </c>
    </row>
    <row r="672" spans="1:64">
      <c r="A672" s="47" t="s">
        <v>653</v>
      </c>
      <c r="B672" s="55" t="s">
        <v>71</v>
      </c>
      <c r="C672" s="55" t="s">
        <v>1065</v>
      </c>
      <c r="D672" s="165" t="s">
        <v>1567</v>
      </c>
      <c r="E672" s="166"/>
      <c r="F672" s="166"/>
      <c r="G672" s="55" t="s">
        <v>1638</v>
      </c>
      <c r="H672" s="64">
        <v>2.6880000000000002</v>
      </c>
      <c r="I672" s="64">
        <v>424</v>
      </c>
      <c r="J672" s="64">
        <f>H672*AO672</f>
        <v>0</v>
      </c>
      <c r="K672" s="64">
        <f>H672*AP672</f>
        <v>1139.712</v>
      </c>
      <c r="L672" s="64">
        <f>H672*I672</f>
        <v>1139.712</v>
      </c>
      <c r="M672" s="73" t="s">
        <v>1657</v>
      </c>
      <c r="N672" s="19"/>
      <c r="Z672" s="35">
        <f>IF(AQ672="5",BJ672,0)</f>
        <v>0</v>
      </c>
      <c r="AB672" s="35">
        <f>IF(AQ672="1",BH672,0)</f>
        <v>0</v>
      </c>
      <c r="AC672" s="35">
        <f>IF(AQ672="1",BI672,0)</f>
        <v>1139.712</v>
      </c>
      <c r="AD672" s="35">
        <f>IF(AQ672="7",BH672,0)</f>
        <v>0</v>
      </c>
      <c r="AE672" s="35">
        <f>IF(AQ672="7",BI672,0)</f>
        <v>0</v>
      </c>
      <c r="AF672" s="35">
        <f>IF(AQ672="2",BH672,0)</f>
        <v>0</v>
      </c>
      <c r="AG672" s="35">
        <f>IF(AQ672="2",BI672,0)</f>
        <v>0</v>
      </c>
      <c r="AH672" s="35">
        <f>IF(AQ672="0",BJ672,0)</f>
        <v>0</v>
      </c>
      <c r="AI672" s="77" t="s">
        <v>71</v>
      </c>
      <c r="AJ672" s="64">
        <f>IF(AN672=0,L672,0)</f>
        <v>0</v>
      </c>
      <c r="AK672" s="64">
        <f>IF(AN672=15,L672,0)</f>
        <v>0</v>
      </c>
      <c r="AL672" s="64">
        <f>IF(AN672=21,L672,0)</f>
        <v>1139.712</v>
      </c>
      <c r="AN672" s="35">
        <v>21</v>
      </c>
      <c r="AO672" s="35">
        <f>I672*0</f>
        <v>0</v>
      </c>
      <c r="AP672" s="35">
        <f>I672*(1-0)</f>
        <v>424</v>
      </c>
      <c r="AQ672" s="78" t="s">
        <v>109</v>
      </c>
      <c r="AV672" s="35">
        <f>AW672+AX672</f>
        <v>1139.712</v>
      </c>
      <c r="AW672" s="35">
        <f>H672*AO672</f>
        <v>0</v>
      </c>
      <c r="AX672" s="35">
        <f>H672*AP672</f>
        <v>1139.712</v>
      </c>
      <c r="AY672" s="80" t="s">
        <v>1709</v>
      </c>
      <c r="AZ672" s="80" t="s">
        <v>1764</v>
      </c>
      <c r="BA672" s="77" t="s">
        <v>1784</v>
      </c>
      <c r="BC672" s="35">
        <f>AW672+AX672</f>
        <v>1139.712</v>
      </c>
      <c r="BD672" s="35">
        <f>I672/(100-BE672)*100</f>
        <v>424</v>
      </c>
      <c r="BE672" s="35">
        <v>0</v>
      </c>
      <c r="BF672" s="35">
        <f>672</f>
        <v>672</v>
      </c>
      <c r="BH672" s="64">
        <f>H672*AO672</f>
        <v>0</v>
      </c>
      <c r="BI672" s="64">
        <f>H672*AP672</f>
        <v>1139.712</v>
      </c>
      <c r="BJ672" s="64">
        <f>H672*I672</f>
        <v>1139.712</v>
      </c>
      <c r="BK672" s="64" t="s">
        <v>1790</v>
      </c>
      <c r="BL672" s="35">
        <v>17</v>
      </c>
    </row>
    <row r="673" spans="1:64">
      <c r="A673" s="48" t="s">
        <v>654</v>
      </c>
      <c r="B673" s="56" t="s">
        <v>71</v>
      </c>
      <c r="C673" s="56" t="s">
        <v>1066</v>
      </c>
      <c r="D673" s="170" t="s">
        <v>1568</v>
      </c>
      <c r="E673" s="171"/>
      <c r="F673" s="171"/>
      <c r="G673" s="56" t="s">
        <v>1634</v>
      </c>
      <c r="H673" s="65">
        <v>4.8384</v>
      </c>
      <c r="I673" s="65">
        <v>187</v>
      </c>
      <c r="J673" s="65">
        <f>H673*AO673</f>
        <v>904.7808</v>
      </c>
      <c r="K673" s="65">
        <f>H673*AP673</f>
        <v>0</v>
      </c>
      <c r="L673" s="65">
        <f>H673*I673</f>
        <v>904.7808</v>
      </c>
      <c r="M673" s="74" t="s">
        <v>1657</v>
      </c>
      <c r="N673" s="19"/>
      <c r="Z673" s="35">
        <f>IF(AQ673="5",BJ673,0)</f>
        <v>0</v>
      </c>
      <c r="AB673" s="35">
        <f>IF(AQ673="1",BH673,0)</f>
        <v>904.7808</v>
      </c>
      <c r="AC673" s="35">
        <f>IF(AQ673="1",BI673,0)</f>
        <v>0</v>
      </c>
      <c r="AD673" s="35">
        <f>IF(AQ673="7",BH673,0)</f>
        <v>0</v>
      </c>
      <c r="AE673" s="35">
        <f>IF(AQ673="7",BI673,0)</f>
        <v>0</v>
      </c>
      <c r="AF673" s="35">
        <f>IF(AQ673="2",BH673,0)</f>
        <v>0</v>
      </c>
      <c r="AG673" s="35">
        <f>IF(AQ673="2",BI673,0)</f>
        <v>0</v>
      </c>
      <c r="AH673" s="35">
        <f>IF(AQ673="0",BJ673,0)</f>
        <v>0</v>
      </c>
      <c r="AI673" s="77" t="s">
        <v>71</v>
      </c>
      <c r="AJ673" s="65">
        <f>IF(AN673=0,L673,0)</f>
        <v>0</v>
      </c>
      <c r="AK673" s="65">
        <f>IF(AN673=15,L673,0)</f>
        <v>0</v>
      </c>
      <c r="AL673" s="65">
        <f>IF(AN673=21,L673,0)</f>
        <v>904.7808</v>
      </c>
      <c r="AN673" s="35">
        <v>21</v>
      </c>
      <c r="AO673" s="35">
        <f>I673*1</f>
        <v>187</v>
      </c>
      <c r="AP673" s="35">
        <f>I673*(1-1)</f>
        <v>0</v>
      </c>
      <c r="AQ673" s="79" t="s">
        <v>109</v>
      </c>
      <c r="AV673" s="35">
        <f>AW673+AX673</f>
        <v>904.7808</v>
      </c>
      <c r="AW673" s="35">
        <f>H673*AO673</f>
        <v>904.7808</v>
      </c>
      <c r="AX673" s="35">
        <f>H673*AP673</f>
        <v>0</v>
      </c>
      <c r="AY673" s="80" t="s">
        <v>1709</v>
      </c>
      <c r="AZ673" s="80" t="s">
        <v>1764</v>
      </c>
      <c r="BA673" s="77" t="s">
        <v>1784</v>
      </c>
      <c r="BC673" s="35">
        <f>AW673+AX673</f>
        <v>904.7808</v>
      </c>
      <c r="BD673" s="35">
        <f>I673/(100-BE673)*100</f>
        <v>187</v>
      </c>
      <c r="BE673" s="35">
        <v>0</v>
      </c>
      <c r="BF673" s="35">
        <f>673</f>
        <v>673</v>
      </c>
      <c r="BH673" s="65">
        <f>H673*AO673</f>
        <v>904.7808</v>
      </c>
      <c r="BI673" s="65">
        <f>H673*AP673</f>
        <v>0</v>
      </c>
      <c r="BJ673" s="65">
        <f>H673*I673</f>
        <v>904.7808</v>
      </c>
      <c r="BK673" s="65" t="s">
        <v>1642</v>
      </c>
      <c r="BL673" s="35">
        <v>17</v>
      </c>
    </row>
    <row r="674" spans="1:64">
      <c r="A674" s="47" t="s">
        <v>655</v>
      </c>
      <c r="B674" s="55" t="s">
        <v>71</v>
      </c>
      <c r="C674" s="55" t="s">
        <v>1067</v>
      </c>
      <c r="D674" s="165" t="s">
        <v>1569</v>
      </c>
      <c r="E674" s="166"/>
      <c r="F674" s="166"/>
      <c r="G674" s="55" t="s">
        <v>1638</v>
      </c>
      <c r="H674" s="64">
        <v>76.387500000000003</v>
      </c>
      <c r="I674" s="64">
        <v>621</v>
      </c>
      <c r="J674" s="64">
        <f>H674*AO674</f>
        <v>0</v>
      </c>
      <c r="K674" s="64">
        <f>H674*AP674</f>
        <v>47436.637500000004</v>
      </c>
      <c r="L674" s="64">
        <f>H674*I674</f>
        <v>47436.637500000004</v>
      </c>
      <c r="M674" s="73" t="s">
        <v>1657</v>
      </c>
      <c r="N674" s="19"/>
      <c r="Z674" s="35">
        <f>IF(AQ674="5",BJ674,0)</f>
        <v>0</v>
      </c>
      <c r="AB674" s="35">
        <f>IF(AQ674="1",BH674,0)</f>
        <v>0</v>
      </c>
      <c r="AC674" s="35">
        <f>IF(AQ674="1",BI674,0)</f>
        <v>47436.637500000004</v>
      </c>
      <c r="AD674" s="35">
        <f>IF(AQ674="7",BH674,0)</f>
        <v>0</v>
      </c>
      <c r="AE674" s="35">
        <f>IF(AQ674="7",BI674,0)</f>
        <v>0</v>
      </c>
      <c r="AF674" s="35">
        <f>IF(AQ674="2",BH674,0)</f>
        <v>0</v>
      </c>
      <c r="AG674" s="35">
        <f>IF(AQ674="2",BI674,0)</f>
        <v>0</v>
      </c>
      <c r="AH674" s="35">
        <f>IF(AQ674="0",BJ674,0)</f>
        <v>0</v>
      </c>
      <c r="AI674" s="77" t="s">
        <v>71</v>
      </c>
      <c r="AJ674" s="64">
        <f>IF(AN674=0,L674,0)</f>
        <v>0</v>
      </c>
      <c r="AK674" s="64">
        <f>IF(AN674=15,L674,0)</f>
        <v>0</v>
      </c>
      <c r="AL674" s="64">
        <f>IF(AN674=21,L674,0)</f>
        <v>47436.637500000004</v>
      </c>
      <c r="AN674" s="35">
        <v>21</v>
      </c>
      <c r="AO674" s="35">
        <f>I674*0</f>
        <v>0</v>
      </c>
      <c r="AP674" s="35">
        <f>I674*(1-0)</f>
        <v>621</v>
      </c>
      <c r="AQ674" s="78" t="s">
        <v>109</v>
      </c>
      <c r="AV674" s="35">
        <f>AW674+AX674</f>
        <v>47436.637500000004</v>
      </c>
      <c r="AW674" s="35">
        <f>H674*AO674</f>
        <v>0</v>
      </c>
      <c r="AX674" s="35">
        <f>H674*AP674</f>
        <v>47436.637500000004</v>
      </c>
      <c r="AY674" s="80" t="s">
        <v>1709</v>
      </c>
      <c r="AZ674" s="80" t="s">
        <v>1764</v>
      </c>
      <c r="BA674" s="77" t="s">
        <v>1784</v>
      </c>
      <c r="BC674" s="35">
        <f>AW674+AX674</f>
        <v>47436.637500000004</v>
      </c>
      <c r="BD674" s="35">
        <f>I674/(100-BE674)*100</f>
        <v>621</v>
      </c>
      <c r="BE674" s="35">
        <v>0</v>
      </c>
      <c r="BF674" s="35">
        <f>674</f>
        <v>674</v>
      </c>
      <c r="BH674" s="64">
        <f>H674*AO674</f>
        <v>0</v>
      </c>
      <c r="BI674" s="64">
        <f>H674*AP674</f>
        <v>47436.637500000004</v>
      </c>
      <c r="BJ674" s="64">
        <f>H674*I674</f>
        <v>47436.637500000004</v>
      </c>
      <c r="BK674" s="64" t="s">
        <v>1790</v>
      </c>
      <c r="BL674" s="35">
        <v>17</v>
      </c>
    </row>
    <row r="675" spans="1:64">
      <c r="A675" s="48" t="s">
        <v>656</v>
      </c>
      <c r="B675" s="56" t="s">
        <v>71</v>
      </c>
      <c r="C675" s="56" t="s">
        <v>1068</v>
      </c>
      <c r="D675" s="170" t="s">
        <v>1570</v>
      </c>
      <c r="E675" s="171"/>
      <c r="F675" s="171"/>
      <c r="G675" s="56" t="s">
        <v>1634</v>
      </c>
      <c r="H675" s="65">
        <v>137.4975</v>
      </c>
      <c r="I675" s="65">
        <v>360</v>
      </c>
      <c r="J675" s="65">
        <f>H675*AO675</f>
        <v>49499.1</v>
      </c>
      <c r="K675" s="65">
        <f>H675*AP675</f>
        <v>0</v>
      </c>
      <c r="L675" s="65">
        <f>H675*I675</f>
        <v>49499.1</v>
      </c>
      <c r="M675" s="74" t="s">
        <v>1657</v>
      </c>
      <c r="N675" s="19"/>
      <c r="Z675" s="35">
        <f>IF(AQ675="5",BJ675,0)</f>
        <v>0</v>
      </c>
      <c r="AB675" s="35">
        <f>IF(AQ675="1",BH675,0)</f>
        <v>49499.1</v>
      </c>
      <c r="AC675" s="35">
        <f>IF(AQ675="1",BI675,0)</f>
        <v>0</v>
      </c>
      <c r="AD675" s="35">
        <f>IF(AQ675="7",BH675,0)</f>
        <v>0</v>
      </c>
      <c r="AE675" s="35">
        <f>IF(AQ675="7",BI675,0)</f>
        <v>0</v>
      </c>
      <c r="AF675" s="35">
        <f>IF(AQ675="2",BH675,0)</f>
        <v>0</v>
      </c>
      <c r="AG675" s="35">
        <f>IF(AQ675="2",BI675,0)</f>
        <v>0</v>
      </c>
      <c r="AH675" s="35">
        <f>IF(AQ675="0",BJ675,0)</f>
        <v>0</v>
      </c>
      <c r="AI675" s="77" t="s">
        <v>71</v>
      </c>
      <c r="AJ675" s="65">
        <f>IF(AN675=0,L675,0)</f>
        <v>0</v>
      </c>
      <c r="AK675" s="65">
        <f>IF(AN675=15,L675,0)</f>
        <v>0</v>
      </c>
      <c r="AL675" s="65">
        <f>IF(AN675=21,L675,0)</f>
        <v>49499.1</v>
      </c>
      <c r="AN675" s="35">
        <v>21</v>
      </c>
      <c r="AO675" s="35">
        <f>I675*1</f>
        <v>360</v>
      </c>
      <c r="AP675" s="35">
        <f>I675*(1-1)</f>
        <v>0</v>
      </c>
      <c r="AQ675" s="79" t="s">
        <v>109</v>
      </c>
      <c r="AV675" s="35">
        <f>AW675+AX675</f>
        <v>49499.1</v>
      </c>
      <c r="AW675" s="35">
        <f>H675*AO675</f>
        <v>49499.1</v>
      </c>
      <c r="AX675" s="35">
        <f>H675*AP675</f>
        <v>0</v>
      </c>
      <c r="AY675" s="80" t="s">
        <v>1709</v>
      </c>
      <c r="AZ675" s="80" t="s">
        <v>1764</v>
      </c>
      <c r="BA675" s="77" t="s">
        <v>1784</v>
      </c>
      <c r="BC675" s="35">
        <f>AW675+AX675</f>
        <v>49499.1</v>
      </c>
      <c r="BD675" s="35">
        <f>I675/(100-BE675)*100</f>
        <v>360</v>
      </c>
      <c r="BE675" s="35">
        <v>0</v>
      </c>
      <c r="BF675" s="35">
        <f>675</f>
        <v>675</v>
      </c>
      <c r="BH675" s="65">
        <f>H675*AO675</f>
        <v>49499.1</v>
      </c>
      <c r="BI675" s="65">
        <f>H675*AP675</f>
        <v>0</v>
      </c>
      <c r="BJ675" s="65">
        <f>H675*I675</f>
        <v>49499.1</v>
      </c>
      <c r="BK675" s="65" t="s">
        <v>1642</v>
      </c>
      <c r="BL675" s="35">
        <v>17</v>
      </c>
    </row>
    <row r="676" spans="1:64">
      <c r="A676" s="46"/>
      <c r="B676" s="54" t="s">
        <v>71</v>
      </c>
      <c r="C676" s="54" t="s">
        <v>171</v>
      </c>
      <c r="D676" s="163" t="s">
        <v>221</v>
      </c>
      <c r="E676" s="164"/>
      <c r="F676" s="164"/>
      <c r="G676" s="61" t="s">
        <v>57</v>
      </c>
      <c r="H676" s="61" t="s">
        <v>57</v>
      </c>
      <c r="I676" s="61" t="s">
        <v>57</v>
      </c>
      <c r="J676" s="83">
        <f>SUM(J677:J679)</f>
        <v>424.76</v>
      </c>
      <c r="K676" s="83">
        <f>SUM(K677:K679)</f>
        <v>7348</v>
      </c>
      <c r="L676" s="83">
        <f>SUM(L677:L679)</f>
        <v>7772.76</v>
      </c>
      <c r="M676" s="72"/>
      <c r="N676" s="19"/>
      <c r="AI676" s="77" t="s">
        <v>71</v>
      </c>
      <c r="AS676" s="83">
        <f>SUM(AJ677:AJ679)</f>
        <v>0</v>
      </c>
      <c r="AT676" s="83">
        <f>SUM(AK677:AK679)</f>
        <v>0</v>
      </c>
      <c r="AU676" s="83">
        <f>SUM(AL677:AL679)</f>
        <v>7772.76</v>
      </c>
    </row>
    <row r="677" spans="1:64">
      <c r="A677" s="47" t="s">
        <v>657</v>
      </c>
      <c r="B677" s="55" t="s">
        <v>71</v>
      </c>
      <c r="C677" s="55" t="s">
        <v>1069</v>
      </c>
      <c r="D677" s="165" t="s">
        <v>1571</v>
      </c>
      <c r="E677" s="166"/>
      <c r="F677" s="166"/>
      <c r="G677" s="55" t="s">
        <v>1632</v>
      </c>
      <c r="H677" s="64">
        <v>129.5</v>
      </c>
      <c r="I677" s="64">
        <v>17</v>
      </c>
      <c r="J677" s="64">
        <f>H677*AO677</f>
        <v>0</v>
      </c>
      <c r="K677" s="64">
        <f>H677*AP677</f>
        <v>2201.5</v>
      </c>
      <c r="L677" s="64">
        <f>H677*I677</f>
        <v>2201.5</v>
      </c>
      <c r="M677" s="73" t="s">
        <v>1657</v>
      </c>
      <c r="N677" s="19"/>
      <c r="Z677" s="35">
        <f>IF(AQ677="5",BJ677,0)</f>
        <v>0</v>
      </c>
      <c r="AB677" s="35">
        <f>IF(AQ677="1",BH677,0)</f>
        <v>0</v>
      </c>
      <c r="AC677" s="35">
        <f>IF(AQ677="1",BI677,0)</f>
        <v>2201.5</v>
      </c>
      <c r="AD677" s="35">
        <f>IF(AQ677="7",BH677,0)</f>
        <v>0</v>
      </c>
      <c r="AE677" s="35">
        <f>IF(AQ677="7",BI677,0)</f>
        <v>0</v>
      </c>
      <c r="AF677" s="35">
        <f>IF(AQ677="2",BH677,0)</f>
        <v>0</v>
      </c>
      <c r="AG677" s="35">
        <f>IF(AQ677="2",BI677,0)</f>
        <v>0</v>
      </c>
      <c r="AH677" s="35">
        <f>IF(AQ677="0",BJ677,0)</f>
        <v>0</v>
      </c>
      <c r="AI677" s="77" t="s">
        <v>71</v>
      </c>
      <c r="AJ677" s="64">
        <f>IF(AN677=0,L677,0)</f>
        <v>0</v>
      </c>
      <c r="AK677" s="64">
        <f>IF(AN677=15,L677,0)</f>
        <v>0</v>
      </c>
      <c r="AL677" s="64">
        <f>IF(AN677=21,L677,0)</f>
        <v>2201.5</v>
      </c>
      <c r="AN677" s="35">
        <v>21</v>
      </c>
      <c r="AO677" s="35">
        <f>I677*0</f>
        <v>0</v>
      </c>
      <c r="AP677" s="35">
        <f>I677*(1-0)</f>
        <v>17</v>
      </c>
      <c r="AQ677" s="78" t="s">
        <v>109</v>
      </c>
      <c r="AV677" s="35">
        <f>AW677+AX677</f>
        <v>2201.5</v>
      </c>
      <c r="AW677" s="35">
        <f>H677*AO677</f>
        <v>0</v>
      </c>
      <c r="AX677" s="35">
        <f>H677*AP677</f>
        <v>2201.5</v>
      </c>
      <c r="AY677" s="80" t="s">
        <v>1710</v>
      </c>
      <c r="AZ677" s="80" t="s">
        <v>1764</v>
      </c>
      <c r="BA677" s="77" t="s">
        <v>1784</v>
      </c>
      <c r="BC677" s="35">
        <f>AW677+AX677</f>
        <v>2201.5</v>
      </c>
      <c r="BD677" s="35">
        <f>I677/(100-BE677)*100</f>
        <v>17</v>
      </c>
      <c r="BE677" s="35">
        <v>0</v>
      </c>
      <c r="BF677" s="35">
        <f>677</f>
        <v>677</v>
      </c>
      <c r="BH677" s="64">
        <f>H677*AO677</f>
        <v>0</v>
      </c>
      <c r="BI677" s="64">
        <f>H677*AP677</f>
        <v>2201.5</v>
      </c>
      <c r="BJ677" s="64">
        <f>H677*I677</f>
        <v>2201.5</v>
      </c>
      <c r="BK677" s="64" t="s">
        <v>1790</v>
      </c>
      <c r="BL677" s="35">
        <v>18</v>
      </c>
    </row>
    <row r="678" spans="1:64">
      <c r="A678" s="48" t="s">
        <v>658</v>
      </c>
      <c r="B678" s="56" t="s">
        <v>71</v>
      </c>
      <c r="C678" s="56" t="s">
        <v>1070</v>
      </c>
      <c r="D678" s="170" t="s">
        <v>1572</v>
      </c>
      <c r="E678" s="171"/>
      <c r="F678" s="171"/>
      <c r="G678" s="56" t="s">
        <v>1637</v>
      </c>
      <c r="H678" s="65">
        <v>5.18</v>
      </c>
      <c r="I678" s="65">
        <v>82</v>
      </c>
      <c r="J678" s="65">
        <f>H678*AO678</f>
        <v>424.76</v>
      </c>
      <c r="K678" s="65">
        <f>H678*AP678</f>
        <v>0</v>
      </c>
      <c r="L678" s="65">
        <f>H678*I678</f>
        <v>424.76</v>
      </c>
      <c r="M678" s="74" t="s">
        <v>1657</v>
      </c>
      <c r="N678" s="19"/>
      <c r="Z678" s="35">
        <f>IF(AQ678="5",BJ678,0)</f>
        <v>0</v>
      </c>
      <c r="AB678" s="35">
        <f>IF(AQ678="1",BH678,0)</f>
        <v>424.76</v>
      </c>
      <c r="AC678" s="35">
        <f>IF(AQ678="1",BI678,0)</f>
        <v>0</v>
      </c>
      <c r="AD678" s="35">
        <f>IF(AQ678="7",BH678,0)</f>
        <v>0</v>
      </c>
      <c r="AE678" s="35">
        <f>IF(AQ678="7",BI678,0)</f>
        <v>0</v>
      </c>
      <c r="AF678" s="35">
        <f>IF(AQ678="2",BH678,0)</f>
        <v>0</v>
      </c>
      <c r="AG678" s="35">
        <f>IF(AQ678="2",BI678,0)</f>
        <v>0</v>
      </c>
      <c r="AH678" s="35">
        <f>IF(AQ678="0",BJ678,0)</f>
        <v>0</v>
      </c>
      <c r="AI678" s="77" t="s">
        <v>71</v>
      </c>
      <c r="AJ678" s="65">
        <f>IF(AN678=0,L678,0)</f>
        <v>0</v>
      </c>
      <c r="AK678" s="65">
        <f>IF(AN678=15,L678,0)</f>
        <v>0</v>
      </c>
      <c r="AL678" s="65">
        <f>IF(AN678=21,L678,0)</f>
        <v>424.76</v>
      </c>
      <c r="AN678" s="35">
        <v>21</v>
      </c>
      <c r="AO678" s="35">
        <f>I678*1</f>
        <v>82</v>
      </c>
      <c r="AP678" s="35">
        <f>I678*(1-1)</f>
        <v>0</v>
      </c>
      <c r="AQ678" s="79" t="s">
        <v>109</v>
      </c>
      <c r="AV678" s="35">
        <f>AW678+AX678</f>
        <v>424.76</v>
      </c>
      <c r="AW678" s="35">
        <f>H678*AO678</f>
        <v>424.76</v>
      </c>
      <c r="AX678" s="35">
        <f>H678*AP678</f>
        <v>0</v>
      </c>
      <c r="AY678" s="80" t="s">
        <v>1710</v>
      </c>
      <c r="AZ678" s="80" t="s">
        <v>1764</v>
      </c>
      <c r="BA678" s="77" t="s">
        <v>1784</v>
      </c>
      <c r="BC678" s="35">
        <f>AW678+AX678</f>
        <v>424.76</v>
      </c>
      <c r="BD678" s="35">
        <f>I678/(100-BE678)*100</f>
        <v>82</v>
      </c>
      <c r="BE678" s="35">
        <v>0</v>
      </c>
      <c r="BF678" s="35">
        <f>678</f>
        <v>678</v>
      </c>
      <c r="BH678" s="65">
        <f>H678*AO678</f>
        <v>424.76</v>
      </c>
      <c r="BI678" s="65">
        <f>H678*AP678</f>
        <v>0</v>
      </c>
      <c r="BJ678" s="65">
        <f>H678*I678</f>
        <v>424.76</v>
      </c>
      <c r="BK678" s="65" t="s">
        <v>1642</v>
      </c>
      <c r="BL678" s="35">
        <v>18</v>
      </c>
    </row>
    <row r="679" spans="1:64">
      <c r="A679" s="47" t="s">
        <v>659</v>
      </c>
      <c r="B679" s="55" t="s">
        <v>71</v>
      </c>
      <c r="C679" s="55" t="s">
        <v>1071</v>
      </c>
      <c r="D679" s="165" t="s">
        <v>1573</v>
      </c>
      <c r="E679" s="166"/>
      <c r="F679" s="166"/>
      <c r="G679" s="55" t="s">
        <v>1632</v>
      </c>
      <c r="H679" s="64">
        <v>109.5</v>
      </c>
      <c r="I679" s="64">
        <v>47</v>
      </c>
      <c r="J679" s="64">
        <f>H679*AO679</f>
        <v>0</v>
      </c>
      <c r="K679" s="64">
        <f>H679*AP679</f>
        <v>5146.5</v>
      </c>
      <c r="L679" s="64">
        <f>H679*I679</f>
        <v>5146.5</v>
      </c>
      <c r="M679" s="73" t="s">
        <v>1657</v>
      </c>
      <c r="N679" s="19"/>
      <c r="Z679" s="35">
        <f>IF(AQ679="5",BJ679,0)</f>
        <v>0</v>
      </c>
      <c r="AB679" s="35">
        <f>IF(AQ679="1",BH679,0)</f>
        <v>0</v>
      </c>
      <c r="AC679" s="35">
        <f>IF(AQ679="1",BI679,0)</f>
        <v>5146.5</v>
      </c>
      <c r="AD679" s="35">
        <f>IF(AQ679="7",BH679,0)</f>
        <v>0</v>
      </c>
      <c r="AE679" s="35">
        <f>IF(AQ679="7",BI679,0)</f>
        <v>0</v>
      </c>
      <c r="AF679" s="35">
        <f>IF(AQ679="2",BH679,0)</f>
        <v>0</v>
      </c>
      <c r="AG679" s="35">
        <f>IF(AQ679="2",BI679,0)</f>
        <v>0</v>
      </c>
      <c r="AH679" s="35">
        <f>IF(AQ679="0",BJ679,0)</f>
        <v>0</v>
      </c>
      <c r="AI679" s="77" t="s">
        <v>71</v>
      </c>
      <c r="AJ679" s="64">
        <f>IF(AN679=0,L679,0)</f>
        <v>0</v>
      </c>
      <c r="AK679" s="64">
        <f>IF(AN679=15,L679,0)</f>
        <v>0</v>
      </c>
      <c r="AL679" s="64">
        <f>IF(AN679=21,L679,0)</f>
        <v>5146.5</v>
      </c>
      <c r="AN679" s="35">
        <v>21</v>
      </c>
      <c r="AO679" s="35">
        <f>I679*0</f>
        <v>0</v>
      </c>
      <c r="AP679" s="35">
        <f>I679*(1-0)</f>
        <v>47</v>
      </c>
      <c r="AQ679" s="78" t="s">
        <v>109</v>
      </c>
      <c r="AV679" s="35">
        <f>AW679+AX679</f>
        <v>5146.5</v>
      </c>
      <c r="AW679" s="35">
        <f>H679*AO679</f>
        <v>0</v>
      </c>
      <c r="AX679" s="35">
        <f>H679*AP679</f>
        <v>5146.5</v>
      </c>
      <c r="AY679" s="80" t="s">
        <v>1710</v>
      </c>
      <c r="AZ679" s="80" t="s">
        <v>1764</v>
      </c>
      <c r="BA679" s="77" t="s">
        <v>1784</v>
      </c>
      <c r="BC679" s="35">
        <f>AW679+AX679</f>
        <v>5146.5</v>
      </c>
      <c r="BD679" s="35">
        <f>I679/(100-BE679)*100</f>
        <v>47</v>
      </c>
      <c r="BE679" s="35">
        <v>0</v>
      </c>
      <c r="BF679" s="35">
        <f>679</f>
        <v>679</v>
      </c>
      <c r="BH679" s="64">
        <f>H679*AO679</f>
        <v>0</v>
      </c>
      <c r="BI679" s="64">
        <f>H679*AP679</f>
        <v>5146.5</v>
      </c>
      <c r="BJ679" s="64">
        <f>H679*I679</f>
        <v>5146.5</v>
      </c>
      <c r="BK679" s="64" t="s">
        <v>1790</v>
      </c>
      <c r="BL679" s="35">
        <v>18</v>
      </c>
    </row>
    <row r="680" spans="1:64">
      <c r="A680" s="46"/>
      <c r="B680" s="54" t="s">
        <v>71</v>
      </c>
      <c r="C680" s="54" t="s">
        <v>172</v>
      </c>
      <c r="D680" s="163" t="s">
        <v>222</v>
      </c>
      <c r="E680" s="164"/>
      <c r="F680" s="164"/>
      <c r="G680" s="61" t="s">
        <v>57</v>
      </c>
      <c r="H680" s="61" t="s">
        <v>57</v>
      </c>
      <c r="I680" s="61" t="s">
        <v>57</v>
      </c>
      <c r="J680" s="83">
        <f>SUM(J681:J684)</f>
        <v>49062.600000000006</v>
      </c>
      <c r="K680" s="83">
        <f>SUM(K681:K684)</f>
        <v>15132</v>
      </c>
      <c r="L680" s="83">
        <f>SUM(L681:L684)</f>
        <v>64194.600000000006</v>
      </c>
      <c r="M680" s="72"/>
      <c r="N680" s="19"/>
      <c r="AI680" s="77" t="s">
        <v>71</v>
      </c>
      <c r="AS680" s="83">
        <f>SUM(AJ681:AJ684)</f>
        <v>0</v>
      </c>
      <c r="AT680" s="83">
        <f>SUM(AK681:AK684)</f>
        <v>0</v>
      </c>
      <c r="AU680" s="83">
        <f>SUM(AL681:AL684)</f>
        <v>64194.600000000006</v>
      </c>
    </row>
    <row r="681" spans="1:64">
      <c r="A681" s="47" t="s">
        <v>660</v>
      </c>
      <c r="B681" s="55" t="s">
        <v>71</v>
      </c>
      <c r="C681" s="55" t="s">
        <v>1072</v>
      </c>
      <c r="D681" s="165" t="s">
        <v>1574</v>
      </c>
      <c r="E681" s="166"/>
      <c r="F681" s="166"/>
      <c r="G681" s="55" t="s">
        <v>1633</v>
      </c>
      <c r="H681" s="64">
        <v>291</v>
      </c>
      <c r="I681" s="64">
        <v>16</v>
      </c>
      <c r="J681" s="64">
        <f>H681*AO681</f>
        <v>0</v>
      </c>
      <c r="K681" s="64">
        <f>H681*AP681</f>
        <v>4656</v>
      </c>
      <c r="L681" s="64">
        <f>H681*I681</f>
        <v>4656</v>
      </c>
      <c r="M681" s="73" t="s">
        <v>1657</v>
      </c>
      <c r="N681" s="19"/>
      <c r="Z681" s="35">
        <f>IF(AQ681="5",BJ681,0)</f>
        <v>0</v>
      </c>
      <c r="AB681" s="35">
        <f>IF(AQ681="1",BH681,0)</f>
        <v>0</v>
      </c>
      <c r="AC681" s="35">
        <f>IF(AQ681="1",BI681,0)</f>
        <v>4656</v>
      </c>
      <c r="AD681" s="35">
        <f>IF(AQ681="7",BH681,0)</f>
        <v>0</v>
      </c>
      <c r="AE681" s="35">
        <f>IF(AQ681="7",BI681,0)</f>
        <v>0</v>
      </c>
      <c r="AF681" s="35">
        <f>IF(AQ681="2",BH681,0)</f>
        <v>0</v>
      </c>
      <c r="AG681" s="35">
        <f>IF(AQ681="2",BI681,0)</f>
        <v>0</v>
      </c>
      <c r="AH681" s="35">
        <f>IF(AQ681="0",BJ681,0)</f>
        <v>0</v>
      </c>
      <c r="AI681" s="77" t="s">
        <v>71</v>
      </c>
      <c r="AJ681" s="64">
        <f>IF(AN681=0,L681,0)</f>
        <v>0</v>
      </c>
      <c r="AK681" s="64">
        <f>IF(AN681=15,L681,0)</f>
        <v>0</v>
      </c>
      <c r="AL681" s="64">
        <f>IF(AN681=21,L681,0)</f>
        <v>4656</v>
      </c>
      <c r="AN681" s="35">
        <v>21</v>
      </c>
      <c r="AO681" s="35">
        <f>I681*0</f>
        <v>0</v>
      </c>
      <c r="AP681" s="35">
        <f>I681*(1-0)</f>
        <v>16</v>
      </c>
      <c r="AQ681" s="78" t="s">
        <v>109</v>
      </c>
      <c r="AV681" s="35">
        <f>AW681+AX681</f>
        <v>4656</v>
      </c>
      <c r="AW681" s="35">
        <f>H681*AO681</f>
        <v>0</v>
      </c>
      <c r="AX681" s="35">
        <f>H681*AP681</f>
        <v>4656</v>
      </c>
      <c r="AY681" s="80" t="s">
        <v>1711</v>
      </c>
      <c r="AZ681" s="80" t="s">
        <v>1765</v>
      </c>
      <c r="BA681" s="77" t="s">
        <v>1784</v>
      </c>
      <c r="BC681" s="35">
        <f>AW681+AX681</f>
        <v>4656</v>
      </c>
      <c r="BD681" s="35">
        <f>I681/(100-BE681)*100</f>
        <v>16</v>
      </c>
      <c r="BE681" s="35">
        <v>0</v>
      </c>
      <c r="BF681" s="35">
        <f>681</f>
        <v>681</v>
      </c>
      <c r="BH681" s="64">
        <f>H681*AO681</f>
        <v>0</v>
      </c>
      <c r="BI681" s="64">
        <f>H681*AP681</f>
        <v>4656</v>
      </c>
      <c r="BJ681" s="64">
        <f>H681*I681</f>
        <v>4656</v>
      </c>
      <c r="BK681" s="64" t="s">
        <v>1790</v>
      </c>
      <c r="BL681" s="35">
        <v>21</v>
      </c>
    </row>
    <row r="682" spans="1:64">
      <c r="A682" s="48" t="s">
        <v>661</v>
      </c>
      <c r="B682" s="56" t="s">
        <v>71</v>
      </c>
      <c r="C682" s="56" t="s">
        <v>1073</v>
      </c>
      <c r="D682" s="170" t="s">
        <v>1575</v>
      </c>
      <c r="E682" s="171"/>
      <c r="F682" s="171"/>
      <c r="G682" s="56" t="s">
        <v>1633</v>
      </c>
      <c r="H682" s="65">
        <v>291</v>
      </c>
      <c r="I682" s="65">
        <v>107</v>
      </c>
      <c r="J682" s="65">
        <f>H682*AO682</f>
        <v>31137</v>
      </c>
      <c r="K682" s="65">
        <f>H682*AP682</f>
        <v>0</v>
      </c>
      <c r="L682" s="65">
        <f>H682*I682</f>
        <v>31137</v>
      </c>
      <c r="M682" s="74" t="s">
        <v>1657</v>
      </c>
      <c r="N682" s="19"/>
      <c r="Z682" s="35">
        <f>IF(AQ682="5",BJ682,0)</f>
        <v>0</v>
      </c>
      <c r="AB682" s="35">
        <f>IF(AQ682="1",BH682,0)</f>
        <v>31137</v>
      </c>
      <c r="AC682" s="35">
        <f>IF(AQ682="1",BI682,0)</f>
        <v>0</v>
      </c>
      <c r="AD682" s="35">
        <f>IF(AQ682="7",BH682,0)</f>
        <v>0</v>
      </c>
      <c r="AE682" s="35">
        <f>IF(AQ682="7",BI682,0)</f>
        <v>0</v>
      </c>
      <c r="AF682" s="35">
        <f>IF(AQ682="2",BH682,0)</f>
        <v>0</v>
      </c>
      <c r="AG682" s="35">
        <f>IF(AQ682="2",BI682,0)</f>
        <v>0</v>
      </c>
      <c r="AH682" s="35">
        <f>IF(AQ682="0",BJ682,0)</f>
        <v>0</v>
      </c>
      <c r="AI682" s="77" t="s">
        <v>71</v>
      </c>
      <c r="AJ682" s="65">
        <f>IF(AN682=0,L682,0)</f>
        <v>0</v>
      </c>
      <c r="AK682" s="65">
        <f>IF(AN682=15,L682,0)</f>
        <v>0</v>
      </c>
      <c r="AL682" s="65">
        <f>IF(AN682=21,L682,0)</f>
        <v>31137</v>
      </c>
      <c r="AN682" s="35">
        <v>21</v>
      </c>
      <c r="AO682" s="35">
        <f>I682*1</f>
        <v>107</v>
      </c>
      <c r="AP682" s="35">
        <f>I682*(1-1)</f>
        <v>0</v>
      </c>
      <c r="AQ682" s="79" t="s">
        <v>109</v>
      </c>
      <c r="AV682" s="35">
        <f>AW682+AX682</f>
        <v>31137</v>
      </c>
      <c r="AW682" s="35">
        <f>H682*AO682</f>
        <v>31137</v>
      </c>
      <c r="AX682" s="35">
        <f>H682*AP682</f>
        <v>0</v>
      </c>
      <c r="AY682" s="80" t="s">
        <v>1711</v>
      </c>
      <c r="AZ682" s="80" t="s">
        <v>1765</v>
      </c>
      <c r="BA682" s="77" t="s">
        <v>1784</v>
      </c>
      <c r="BC682" s="35">
        <f>AW682+AX682</f>
        <v>31137</v>
      </c>
      <c r="BD682" s="35">
        <f>I682/(100-BE682)*100</f>
        <v>107</v>
      </c>
      <c r="BE682" s="35">
        <v>0</v>
      </c>
      <c r="BF682" s="35">
        <f>682</f>
        <v>682</v>
      </c>
      <c r="BH682" s="65">
        <f>H682*AO682</f>
        <v>31137</v>
      </c>
      <c r="BI682" s="65">
        <f>H682*AP682</f>
        <v>0</v>
      </c>
      <c r="BJ682" s="65">
        <f>H682*I682</f>
        <v>31137</v>
      </c>
      <c r="BK682" s="65" t="s">
        <v>1642</v>
      </c>
      <c r="BL682" s="35">
        <v>21</v>
      </c>
    </row>
    <row r="683" spans="1:64">
      <c r="A683" s="47" t="s">
        <v>662</v>
      </c>
      <c r="B683" s="55" t="s">
        <v>71</v>
      </c>
      <c r="C683" s="55" t="s">
        <v>1074</v>
      </c>
      <c r="D683" s="165" t="s">
        <v>1576</v>
      </c>
      <c r="E683" s="166"/>
      <c r="F683" s="166"/>
      <c r="G683" s="55" t="s">
        <v>1632</v>
      </c>
      <c r="H683" s="64">
        <v>582</v>
      </c>
      <c r="I683" s="64">
        <v>18</v>
      </c>
      <c r="J683" s="64">
        <f>H683*AO683</f>
        <v>0</v>
      </c>
      <c r="K683" s="64">
        <f>H683*AP683</f>
        <v>10476</v>
      </c>
      <c r="L683" s="64">
        <f>H683*I683</f>
        <v>10476</v>
      </c>
      <c r="M683" s="73" t="s">
        <v>1657</v>
      </c>
      <c r="N683" s="19"/>
      <c r="Z683" s="35">
        <f>IF(AQ683="5",BJ683,0)</f>
        <v>0</v>
      </c>
      <c r="AB683" s="35">
        <f>IF(AQ683="1",BH683,0)</f>
        <v>0</v>
      </c>
      <c r="AC683" s="35">
        <f>IF(AQ683="1",BI683,0)</f>
        <v>10476</v>
      </c>
      <c r="AD683" s="35">
        <f>IF(AQ683="7",BH683,0)</f>
        <v>0</v>
      </c>
      <c r="AE683" s="35">
        <f>IF(AQ683="7",BI683,0)</f>
        <v>0</v>
      </c>
      <c r="AF683" s="35">
        <f>IF(AQ683="2",BH683,0)</f>
        <v>0</v>
      </c>
      <c r="AG683" s="35">
        <f>IF(AQ683="2",BI683,0)</f>
        <v>0</v>
      </c>
      <c r="AH683" s="35">
        <f>IF(AQ683="0",BJ683,0)</f>
        <v>0</v>
      </c>
      <c r="AI683" s="77" t="s">
        <v>71</v>
      </c>
      <c r="AJ683" s="64">
        <f>IF(AN683=0,L683,0)</f>
        <v>0</v>
      </c>
      <c r="AK683" s="64">
        <f>IF(AN683=15,L683,0)</f>
        <v>0</v>
      </c>
      <c r="AL683" s="64">
        <f>IF(AN683=21,L683,0)</f>
        <v>10476</v>
      </c>
      <c r="AN683" s="35">
        <v>21</v>
      </c>
      <c r="AO683" s="35">
        <f>I683*0</f>
        <v>0</v>
      </c>
      <c r="AP683" s="35">
        <f>I683*(1-0)</f>
        <v>18</v>
      </c>
      <c r="AQ683" s="78" t="s">
        <v>109</v>
      </c>
      <c r="AV683" s="35">
        <f>AW683+AX683</f>
        <v>10476</v>
      </c>
      <c r="AW683" s="35">
        <f>H683*AO683</f>
        <v>0</v>
      </c>
      <c r="AX683" s="35">
        <f>H683*AP683</f>
        <v>10476</v>
      </c>
      <c r="AY683" s="80" t="s">
        <v>1711</v>
      </c>
      <c r="AZ683" s="80" t="s">
        <v>1765</v>
      </c>
      <c r="BA683" s="77" t="s">
        <v>1784</v>
      </c>
      <c r="BC683" s="35">
        <f>AW683+AX683</f>
        <v>10476</v>
      </c>
      <c r="BD683" s="35">
        <f>I683/(100-BE683)*100</f>
        <v>18</v>
      </c>
      <c r="BE683" s="35">
        <v>0</v>
      </c>
      <c r="BF683" s="35">
        <f>683</f>
        <v>683</v>
      </c>
      <c r="BH683" s="64">
        <f>H683*AO683</f>
        <v>0</v>
      </c>
      <c r="BI683" s="64">
        <f>H683*AP683</f>
        <v>10476</v>
      </c>
      <c r="BJ683" s="64">
        <f>H683*I683</f>
        <v>10476</v>
      </c>
      <c r="BK683" s="64" t="s">
        <v>1790</v>
      </c>
      <c r="BL683" s="35">
        <v>21</v>
      </c>
    </row>
    <row r="684" spans="1:64">
      <c r="A684" s="48" t="s">
        <v>663</v>
      </c>
      <c r="B684" s="56" t="s">
        <v>71</v>
      </c>
      <c r="C684" s="56" t="s">
        <v>1075</v>
      </c>
      <c r="D684" s="170" t="s">
        <v>1577</v>
      </c>
      <c r="E684" s="171"/>
      <c r="F684" s="171"/>
      <c r="G684" s="56" t="s">
        <v>1632</v>
      </c>
      <c r="H684" s="65">
        <v>640.20000000000005</v>
      </c>
      <c r="I684" s="65">
        <v>28</v>
      </c>
      <c r="J684" s="65">
        <f>H684*AO684</f>
        <v>17925.600000000002</v>
      </c>
      <c r="K684" s="65">
        <f>H684*AP684</f>
        <v>0</v>
      </c>
      <c r="L684" s="65">
        <f>H684*I684</f>
        <v>17925.600000000002</v>
      </c>
      <c r="M684" s="74" t="s">
        <v>1657</v>
      </c>
      <c r="N684" s="19"/>
      <c r="Z684" s="35">
        <f>IF(AQ684="5",BJ684,0)</f>
        <v>0</v>
      </c>
      <c r="AB684" s="35">
        <f>IF(AQ684="1",BH684,0)</f>
        <v>17925.600000000002</v>
      </c>
      <c r="AC684" s="35">
        <f>IF(AQ684="1",BI684,0)</f>
        <v>0</v>
      </c>
      <c r="AD684" s="35">
        <f>IF(AQ684="7",BH684,0)</f>
        <v>0</v>
      </c>
      <c r="AE684" s="35">
        <f>IF(AQ684="7",BI684,0)</f>
        <v>0</v>
      </c>
      <c r="AF684" s="35">
        <f>IF(AQ684="2",BH684,0)</f>
        <v>0</v>
      </c>
      <c r="AG684" s="35">
        <f>IF(AQ684="2",BI684,0)</f>
        <v>0</v>
      </c>
      <c r="AH684" s="35">
        <f>IF(AQ684="0",BJ684,0)</f>
        <v>0</v>
      </c>
      <c r="AI684" s="77" t="s">
        <v>71</v>
      </c>
      <c r="AJ684" s="65">
        <f>IF(AN684=0,L684,0)</f>
        <v>0</v>
      </c>
      <c r="AK684" s="65">
        <f>IF(AN684=15,L684,0)</f>
        <v>0</v>
      </c>
      <c r="AL684" s="65">
        <f>IF(AN684=21,L684,0)</f>
        <v>17925.600000000002</v>
      </c>
      <c r="AN684" s="35">
        <v>21</v>
      </c>
      <c r="AO684" s="35">
        <f>I684*1</f>
        <v>28</v>
      </c>
      <c r="AP684" s="35">
        <f>I684*(1-1)</f>
        <v>0</v>
      </c>
      <c r="AQ684" s="79" t="s">
        <v>109</v>
      </c>
      <c r="AV684" s="35">
        <f>AW684+AX684</f>
        <v>17925.600000000002</v>
      </c>
      <c r="AW684" s="35">
        <f>H684*AO684</f>
        <v>17925.600000000002</v>
      </c>
      <c r="AX684" s="35">
        <f>H684*AP684</f>
        <v>0</v>
      </c>
      <c r="AY684" s="80" t="s">
        <v>1711</v>
      </c>
      <c r="AZ684" s="80" t="s">
        <v>1765</v>
      </c>
      <c r="BA684" s="77" t="s">
        <v>1784</v>
      </c>
      <c r="BC684" s="35">
        <f>AW684+AX684</f>
        <v>17925.600000000002</v>
      </c>
      <c r="BD684" s="35">
        <f>I684/(100-BE684)*100</f>
        <v>28.000000000000004</v>
      </c>
      <c r="BE684" s="35">
        <v>0</v>
      </c>
      <c r="BF684" s="35">
        <f>684</f>
        <v>684</v>
      </c>
      <c r="BH684" s="65">
        <f>H684*AO684</f>
        <v>17925.600000000002</v>
      </c>
      <c r="BI684" s="65">
        <f>H684*AP684</f>
        <v>0</v>
      </c>
      <c r="BJ684" s="65">
        <f>H684*I684</f>
        <v>17925.600000000002</v>
      </c>
      <c r="BK684" s="65" t="s">
        <v>1642</v>
      </c>
      <c r="BL684" s="35">
        <v>21</v>
      </c>
    </row>
    <row r="685" spans="1:64">
      <c r="A685" s="46"/>
      <c r="B685" s="54" t="s">
        <v>71</v>
      </c>
      <c r="C685" s="54" t="s">
        <v>173</v>
      </c>
      <c r="D685" s="163" t="s">
        <v>223</v>
      </c>
      <c r="E685" s="164"/>
      <c r="F685" s="164"/>
      <c r="G685" s="61" t="s">
        <v>57</v>
      </c>
      <c r="H685" s="61" t="s">
        <v>57</v>
      </c>
      <c r="I685" s="61" t="s">
        <v>57</v>
      </c>
      <c r="J685" s="83">
        <f>SUM(J686:J689)</f>
        <v>0</v>
      </c>
      <c r="K685" s="83">
        <f>SUM(K686:K689)</f>
        <v>53600.088000000003</v>
      </c>
      <c r="L685" s="83">
        <f>SUM(L686:L689)</f>
        <v>53600.088000000003</v>
      </c>
      <c r="M685" s="72"/>
      <c r="N685" s="19"/>
      <c r="AI685" s="77" t="s">
        <v>71</v>
      </c>
      <c r="AS685" s="83">
        <f>SUM(AJ686:AJ689)</f>
        <v>0</v>
      </c>
      <c r="AT685" s="83">
        <f>SUM(AK686:AK689)</f>
        <v>0</v>
      </c>
      <c r="AU685" s="83">
        <f>SUM(AL686:AL689)</f>
        <v>53600.088000000003</v>
      </c>
    </row>
    <row r="686" spans="1:64">
      <c r="A686" s="47" t="s">
        <v>664</v>
      </c>
      <c r="B686" s="55" t="s">
        <v>71</v>
      </c>
      <c r="C686" s="55" t="s">
        <v>1076</v>
      </c>
      <c r="D686" s="165" t="s">
        <v>1578</v>
      </c>
      <c r="E686" s="166"/>
      <c r="F686" s="166"/>
      <c r="G686" s="55" t="s">
        <v>1638</v>
      </c>
      <c r="H686" s="64">
        <v>0.67200000000000004</v>
      </c>
      <c r="I686" s="64">
        <v>881</v>
      </c>
      <c r="J686" s="64">
        <f>H686*AO686</f>
        <v>0</v>
      </c>
      <c r="K686" s="64">
        <f>H686*AP686</f>
        <v>592.03200000000004</v>
      </c>
      <c r="L686" s="64">
        <f>H686*I686</f>
        <v>592.03200000000004</v>
      </c>
      <c r="M686" s="73" t="s">
        <v>1657</v>
      </c>
      <c r="N686" s="19"/>
      <c r="Z686" s="35">
        <f>IF(AQ686="5",BJ686,0)</f>
        <v>0</v>
      </c>
      <c r="AB686" s="35">
        <f>IF(AQ686="1",BH686,0)</f>
        <v>0</v>
      </c>
      <c r="AC686" s="35">
        <f>IF(AQ686="1",BI686,0)</f>
        <v>592.03200000000004</v>
      </c>
      <c r="AD686" s="35">
        <f>IF(AQ686="7",BH686,0)</f>
        <v>0</v>
      </c>
      <c r="AE686" s="35">
        <f>IF(AQ686="7",BI686,0)</f>
        <v>0</v>
      </c>
      <c r="AF686" s="35">
        <f>IF(AQ686="2",BH686,0)</f>
        <v>0</v>
      </c>
      <c r="AG686" s="35">
        <f>IF(AQ686="2",BI686,0)</f>
        <v>0</v>
      </c>
      <c r="AH686" s="35">
        <f>IF(AQ686="0",BJ686,0)</f>
        <v>0</v>
      </c>
      <c r="AI686" s="77" t="s">
        <v>71</v>
      </c>
      <c r="AJ686" s="64">
        <f>IF(AN686=0,L686,0)</f>
        <v>0</v>
      </c>
      <c r="AK686" s="64">
        <f>IF(AN686=15,L686,0)</f>
        <v>0</v>
      </c>
      <c r="AL686" s="64">
        <f>IF(AN686=21,L686,0)</f>
        <v>592.03200000000004</v>
      </c>
      <c r="AN686" s="35">
        <v>21</v>
      </c>
      <c r="AO686" s="35">
        <f>I686*0</f>
        <v>0</v>
      </c>
      <c r="AP686" s="35">
        <f>I686*(1-0)</f>
        <v>881</v>
      </c>
      <c r="AQ686" s="78" t="s">
        <v>109</v>
      </c>
      <c r="AV686" s="35">
        <f>AW686+AX686</f>
        <v>592.03200000000004</v>
      </c>
      <c r="AW686" s="35">
        <f>H686*AO686</f>
        <v>0</v>
      </c>
      <c r="AX686" s="35">
        <f>H686*AP686</f>
        <v>592.03200000000004</v>
      </c>
      <c r="AY686" s="80" t="s">
        <v>1712</v>
      </c>
      <c r="AZ686" s="80" t="s">
        <v>1766</v>
      </c>
      <c r="BA686" s="77" t="s">
        <v>1784</v>
      </c>
      <c r="BC686" s="35">
        <f>AW686+AX686</f>
        <v>592.03200000000004</v>
      </c>
      <c r="BD686" s="35">
        <f>I686/(100-BE686)*100</f>
        <v>881</v>
      </c>
      <c r="BE686" s="35">
        <v>0</v>
      </c>
      <c r="BF686" s="35">
        <f>686</f>
        <v>686</v>
      </c>
      <c r="BH686" s="64">
        <f>H686*AO686</f>
        <v>0</v>
      </c>
      <c r="BI686" s="64">
        <f>H686*AP686</f>
        <v>592.03200000000004</v>
      </c>
      <c r="BJ686" s="64">
        <f>H686*I686</f>
        <v>592.03200000000004</v>
      </c>
      <c r="BK686" s="64" t="s">
        <v>1790</v>
      </c>
      <c r="BL686" s="35">
        <v>45</v>
      </c>
    </row>
    <row r="687" spans="1:64">
      <c r="A687" s="19"/>
      <c r="C687" s="59" t="s">
        <v>730</v>
      </c>
      <c r="D687" s="167" t="s">
        <v>1579</v>
      </c>
      <c r="E687" s="168"/>
      <c r="F687" s="168"/>
      <c r="G687" s="168"/>
      <c r="H687" s="168"/>
      <c r="I687" s="168"/>
      <c r="J687" s="168"/>
      <c r="K687" s="168"/>
      <c r="L687" s="168"/>
      <c r="M687" s="169"/>
      <c r="N687" s="19"/>
    </row>
    <row r="688" spans="1:64">
      <c r="A688" s="47" t="s">
        <v>665</v>
      </c>
      <c r="B688" s="55" t="s">
        <v>71</v>
      </c>
      <c r="C688" s="55" t="s">
        <v>1077</v>
      </c>
      <c r="D688" s="165" t="s">
        <v>1580</v>
      </c>
      <c r="E688" s="166"/>
      <c r="F688" s="166"/>
      <c r="G688" s="55" t="s">
        <v>1632</v>
      </c>
      <c r="H688" s="64">
        <v>920.64</v>
      </c>
      <c r="I688" s="64">
        <v>6</v>
      </c>
      <c r="J688" s="64">
        <f>H688*AO688</f>
        <v>0</v>
      </c>
      <c r="K688" s="64">
        <f>H688*AP688</f>
        <v>5523.84</v>
      </c>
      <c r="L688" s="64">
        <f>H688*I688</f>
        <v>5523.84</v>
      </c>
      <c r="M688" s="73" t="s">
        <v>1657</v>
      </c>
      <c r="N688" s="19"/>
      <c r="Z688" s="35">
        <f>IF(AQ688="5",BJ688,0)</f>
        <v>0</v>
      </c>
      <c r="AB688" s="35">
        <f>IF(AQ688="1",BH688,0)</f>
        <v>0</v>
      </c>
      <c r="AC688" s="35">
        <f>IF(AQ688="1",BI688,0)</f>
        <v>5523.84</v>
      </c>
      <c r="AD688" s="35">
        <f>IF(AQ688="7",BH688,0)</f>
        <v>0</v>
      </c>
      <c r="AE688" s="35">
        <f>IF(AQ688="7",BI688,0)</f>
        <v>0</v>
      </c>
      <c r="AF688" s="35">
        <f>IF(AQ688="2",BH688,0)</f>
        <v>0</v>
      </c>
      <c r="AG688" s="35">
        <f>IF(AQ688="2",BI688,0)</f>
        <v>0</v>
      </c>
      <c r="AH688" s="35">
        <f>IF(AQ688="0",BJ688,0)</f>
        <v>0</v>
      </c>
      <c r="AI688" s="77" t="s">
        <v>71</v>
      </c>
      <c r="AJ688" s="64">
        <f>IF(AN688=0,L688,0)</f>
        <v>0</v>
      </c>
      <c r="AK688" s="64">
        <f>IF(AN688=15,L688,0)</f>
        <v>0</v>
      </c>
      <c r="AL688" s="64">
        <f>IF(AN688=21,L688,0)</f>
        <v>5523.84</v>
      </c>
      <c r="AN688" s="35">
        <v>21</v>
      </c>
      <c r="AO688" s="35">
        <f>I688*0</f>
        <v>0</v>
      </c>
      <c r="AP688" s="35">
        <f>I688*(1-0)</f>
        <v>6</v>
      </c>
      <c r="AQ688" s="78" t="s">
        <v>109</v>
      </c>
      <c r="AV688" s="35">
        <f>AW688+AX688</f>
        <v>5523.84</v>
      </c>
      <c r="AW688" s="35">
        <f>H688*AO688</f>
        <v>0</v>
      </c>
      <c r="AX688" s="35">
        <f>H688*AP688</f>
        <v>5523.84</v>
      </c>
      <c r="AY688" s="80" t="s">
        <v>1712</v>
      </c>
      <c r="AZ688" s="80" t="s">
        <v>1766</v>
      </c>
      <c r="BA688" s="77" t="s">
        <v>1784</v>
      </c>
      <c r="BC688" s="35">
        <f>AW688+AX688</f>
        <v>5523.84</v>
      </c>
      <c r="BD688" s="35">
        <f>I688/(100-BE688)*100</f>
        <v>6</v>
      </c>
      <c r="BE688" s="35">
        <v>0</v>
      </c>
      <c r="BF688" s="35">
        <f>688</f>
        <v>688</v>
      </c>
      <c r="BH688" s="64">
        <f>H688*AO688</f>
        <v>0</v>
      </c>
      <c r="BI688" s="64">
        <f>H688*AP688</f>
        <v>5523.84</v>
      </c>
      <c r="BJ688" s="64">
        <f>H688*I688</f>
        <v>5523.84</v>
      </c>
      <c r="BK688" s="64" t="s">
        <v>1790</v>
      </c>
      <c r="BL688" s="35">
        <v>45</v>
      </c>
    </row>
    <row r="689" spans="1:64">
      <c r="A689" s="47" t="s">
        <v>666</v>
      </c>
      <c r="B689" s="55" t="s">
        <v>71</v>
      </c>
      <c r="C689" s="55" t="s">
        <v>1078</v>
      </c>
      <c r="D689" s="165" t="s">
        <v>1581</v>
      </c>
      <c r="E689" s="166"/>
      <c r="F689" s="166"/>
      <c r="G689" s="55" t="s">
        <v>1638</v>
      </c>
      <c r="H689" s="64">
        <v>22.698</v>
      </c>
      <c r="I689" s="64">
        <v>2092</v>
      </c>
      <c r="J689" s="64">
        <f>H689*AO689</f>
        <v>0</v>
      </c>
      <c r="K689" s="64">
        <f>H689*AP689</f>
        <v>47484.216</v>
      </c>
      <c r="L689" s="64">
        <f>H689*I689</f>
        <v>47484.216</v>
      </c>
      <c r="M689" s="73" t="s">
        <v>1657</v>
      </c>
      <c r="N689" s="19"/>
      <c r="Z689" s="35">
        <f>IF(AQ689="5",BJ689,0)</f>
        <v>0</v>
      </c>
      <c r="AB689" s="35">
        <f>IF(AQ689="1",BH689,0)</f>
        <v>0</v>
      </c>
      <c r="AC689" s="35">
        <f>IF(AQ689="1",BI689,0)</f>
        <v>47484.216</v>
      </c>
      <c r="AD689" s="35">
        <f>IF(AQ689="7",BH689,0)</f>
        <v>0</v>
      </c>
      <c r="AE689" s="35">
        <f>IF(AQ689="7",BI689,0)</f>
        <v>0</v>
      </c>
      <c r="AF689" s="35">
        <f>IF(AQ689="2",BH689,0)</f>
        <v>0</v>
      </c>
      <c r="AG689" s="35">
        <f>IF(AQ689="2",BI689,0)</f>
        <v>0</v>
      </c>
      <c r="AH689" s="35">
        <f>IF(AQ689="0",BJ689,0)</f>
        <v>0</v>
      </c>
      <c r="AI689" s="77" t="s">
        <v>71</v>
      </c>
      <c r="AJ689" s="64">
        <f>IF(AN689=0,L689,0)</f>
        <v>0</v>
      </c>
      <c r="AK689" s="64">
        <f>IF(AN689=15,L689,0)</f>
        <v>0</v>
      </c>
      <c r="AL689" s="64">
        <f>IF(AN689=21,L689,0)</f>
        <v>47484.216</v>
      </c>
      <c r="AN689" s="35">
        <v>21</v>
      </c>
      <c r="AO689" s="35">
        <f>I689*0</f>
        <v>0</v>
      </c>
      <c r="AP689" s="35">
        <f>I689*(1-0)</f>
        <v>2092</v>
      </c>
      <c r="AQ689" s="78" t="s">
        <v>109</v>
      </c>
      <c r="AV689" s="35">
        <f>AW689+AX689</f>
        <v>47484.216</v>
      </c>
      <c r="AW689" s="35">
        <f>H689*AO689</f>
        <v>0</v>
      </c>
      <c r="AX689" s="35">
        <f>H689*AP689</f>
        <v>47484.216</v>
      </c>
      <c r="AY689" s="80" t="s">
        <v>1712</v>
      </c>
      <c r="AZ689" s="80" t="s">
        <v>1766</v>
      </c>
      <c r="BA689" s="77" t="s">
        <v>1784</v>
      </c>
      <c r="BC689" s="35">
        <f>AW689+AX689</f>
        <v>47484.216</v>
      </c>
      <c r="BD689" s="35">
        <f>I689/(100-BE689)*100</f>
        <v>2092</v>
      </c>
      <c r="BE689" s="35">
        <v>0</v>
      </c>
      <c r="BF689" s="35">
        <f>689</f>
        <v>689</v>
      </c>
      <c r="BH689" s="64">
        <f>H689*AO689</f>
        <v>0</v>
      </c>
      <c r="BI689" s="64">
        <f>H689*AP689</f>
        <v>47484.216</v>
      </c>
      <c r="BJ689" s="64">
        <f>H689*I689</f>
        <v>47484.216</v>
      </c>
      <c r="BK689" s="64" t="s">
        <v>1790</v>
      </c>
      <c r="BL689" s="35">
        <v>45</v>
      </c>
    </row>
    <row r="690" spans="1:64">
      <c r="A690" s="46"/>
      <c r="B690" s="54" t="s">
        <v>71</v>
      </c>
      <c r="C690" s="54" t="s">
        <v>174</v>
      </c>
      <c r="D690" s="163" t="s">
        <v>224</v>
      </c>
      <c r="E690" s="164"/>
      <c r="F690" s="164"/>
      <c r="G690" s="61" t="s">
        <v>57</v>
      </c>
      <c r="H690" s="61" t="s">
        <v>57</v>
      </c>
      <c r="I690" s="61" t="s">
        <v>57</v>
      </c>
      <c r="J690" s="83">
        <f>SUM(J691:J693)</f>
        <v>0</v>
      </c>
      <c r="K690" s="83">
        <f>SUM(K691:K693)</f>
        <v>6150.5860000000011</v>
      </c>
      <c r="L690" s="83">
        <f>SUM(L691:L693)</f>
        <v>6150.5860000000011</v>
      </c>
      <c r="M690" s="72"/>
      <c r="N690" s="19"/>
      <c r="AI690" s="77" t="s">
        <v>71</v>
      </c>
      <c r="AS690" s="83">
        <f>SUM(AJ691:AJ693)</f>
        <v>0</v>
      </c>
      <c r="AT690" s="83">
        <f>SUM(AK691:AK693)</f>
        <v>0</v>
      </c>
      <c r="AU690" s="83">
        <f>SUM(AL691:AL693)</f>
        <v>6150.5860000000011</v>
      </c>
    </row>
    <row r="691" spans="1:64">
      <c r="A691" s="47" t="s">
        <v>667</v>
      </c>
      <c r="B691" s="55" t="s">
        <v>71</v>
      </c>
      <c r="C691" s="55" t="s">
        <v>1079</v>
      </c>
      <c r="D691" s="165" t="s">
        <v>1582</v>
      </c>
      <c r="E691" s="166"/>
      <c r="F691" s="166"/>
      <c r="G691" s="55" t="s">
        <v>1632</v>
      </c>
      <c r="H691" s="64">
        <v>44.31</v>
      </c>
      <c r="I691" s="64">
        <v>31</v>
      </c>
      <c r="J691" s="64">
        <f>H691*AO691</f>
        <v>0</v>
      </c>
      <c r="K691" s="64">
        <f>H691*AP691</f>
        <v>1373.6100000000001</v>
      </c>
      <c r="L691" s="64">
        <f>H691*I691</f>
        <v>1373.6100000000001</v>
      </c>
      <c r="M691" s="73" t="s">
        <v>1657</v>
      </c>
      <c r="N691" s="19"/>
      <c r="Z691" s="35">
        <f>IF(AQ691="5",BJ691,0)</f>
        <v>0</v>
      </c>
      <c r="AB691" s="35">
        <f>IF(AQ691="1",BH691,0)</f>
        <v>0</v>
      </c>
      <c r="AC691" s="35">
        <f>IF(AQ691="1",BI691,0)</f>
        <v>1373.6100000000001</v>
      </c>
      <c r="AD691" s="35">
        <f>IF(AQ691="7",BH691,0)</f>
        <v>0</v>
      </c>
      <c r="AE691" s="35">
        <f>IF(AQ691="7",BI691,0)</f>
        <v>0</v>
      </c>
      <c r="AF691" s="35">
        <f>IF(AQ691="2",BH691,0)</f>
        <v>0</v>
      </c>
      <c r="AG691" s="35">
        <f>IF(AQ691="2",BI691,0)</f>
        <v>0</v>
      </c>
      <c r="AH691" s="35">
        <f>IF(AQ691="0",BJ691,0)</f>
        <v>0</v>
      </c>
      <c r="AI691" s="77" t="s">
        <v>71</v>
      </c>
      <c r="AJ691" s="64">
        <f>IF(AN691=0,L691,0)</f>
        <v>0</v>
      </c>
      <c r="AK691" s="64">
        <f>IF(AN691=15,L691,0)</f>
        <v>0</v>
      </c>
      <c r="AL691" s="64">
        <f>IF(AN691=21,L691,0)</f>
        <v>1373.6100000000001</v>
      </c>
      <c r="AN691" s="35">
        <v>21</v>
      </c>
      <c r="AO691" s="35">
        <f>I691*0</f>
        <v>0</v>
      </c>
      <c r="AP691" s="35">
        <f>I691*(1-0)</f>
        <v>31</v>
      </c>
      <c r="AQ691" s="78" t="s">
        <v>109</v>
      </c>
      <c r="AV691" s="35">
        <f>AW691+AX691</f>
        <v>1373.6100000000001</v>
      </c>
      <c r="AW691" s="35">
        <f>H691*AO691</f>
        <v>0</v>
      </c>
      <c r="AX691" s="35">
        <f>H691*AP691</f>
        <v>1373.6100000000001</v>
      </c>
      <c r="AY691" s="80" t="s">
        <v>1713</v>
      </c>
      <c r="AZ691" s="80" t="s">
        <v>1767</v>
      </c>
      <c r="BA691" s="77" t="s">
        <v>1784</v>
      </c>
      <c r="BC691" s="35">
        <f>AW691+AX691</f>
        <v>1373.6100000000001</v>
      </c>
      <c r="BD691" s="35">
        <f>I691/(100-BE691)*100</f>
        <v>31</v>
      </c>
      <c r="BE691" s="35">
        <v>0</v>
      </c>
      <c r="BF691" s="35">
        <f>691</f>
        <v>691</v>
      </c>
      <c r="BH691" s="64">
        <f>H691*AO691</f>
        <v>0</v>
      </c>
      <c r="BI691" s="64">
        <f>H691*AP691</f>
        <v>1373.6100000000001</v>
      </c>
      <c r="BJ691" s="64">
        <f>H691*I691</f>
        <v>1373.6100000000001</v>
      </c>
      <c r="BK691" s="64" t="s">
        <v>1790</v>
      </c>
      <c r="BL691" s="35">
        <v>56</v>
      </c>
    </row>
    <row r="692" spans="1:64">
      <c r="A692" s="47" t="s">
        <v>668</v>
      </c>
      <c r="B692" s="55" t="s">
        <v>71</v>
      </c>
      <c r="C692" s="55" t="s">
        <v>1080</v>
      </c>
      <c r="D692" s="165" t="s">
        <v>1583</v>
      </c>
      <c r="E692" s="166"/>
      <c r="F692" s="166"/>
      <c r="G692" s="55" t="s">
        <v>1632</v>
      </c>
      <c r="H692" s="64">
        <v>100.099</v>
      </c>
      <c r="I692" s="64">
        <v>34</v>
      </c>
      <c r="J692" s="64">
        <f>H692*AO692</f>
        <v>0</v>
      </c>
      <c r="K692" s="64">
        <f>H692*AP692</f>
        <v>3403.366</v>
      </c>
      <c r="L692" s="64">
        <f>H692*I692</f>
        <v>3403.366</v>
      </c>
      <c r="M692" s="73" t="s">
        <v>1657</v>
      </c>
      <c r="N692" s="19"/>
      <c r="Z692" s="35">
        <f>IF(AQ692="5",BJ692,0)</f>
        <v>0</v>
      </c>
      <c r="AB692" s="35">
        <f>IF(AQ692="1",BH692,0)</f>
        <v>0</v>
      </c>
      <c r="AC692" s="35">
        <f>IF(AQ692="1",BI692,0)</f>
        <v>3403.366</v>
      </c>
      <c r="AD692" s="35">
        <f>IF(AQ692="7",BH692,0)</f>
        <v>0</v>
      </c>
      <c r="AE692" s="35">
        <f>IF(AQ692="7",BI692,0)</f>
        <v>0</v>
      </c>
      <c r="AF692" s="35">
        <f>IF(AQ692="2",BH692,0)</f>
        <v>0</v>
      </c>
      <c r="AG692" s="35">
        <f>IF(AQ692="2",BI692,0)</f>
        <v>0</v>
      </c>
      <c r="AH692" s="35">
        <f>IF(AQ692="0",BJ692,0)</f>
        <v>0</v>
      </c>
      <c r="AI692" s="77" t="s">
        <v>71</v>
      </c>
      <c r="AJ692" s="64">
        <f>IF(AN692=0,L692,0)</f>
        <v>0</v>
      </c>
      <c r="AK692" s="64">
        <f>IF(AN692=15,L692,0)</f>
        <v>0</v>
      </c>
      <c r="AL692" s="64">
        <f>IF(AN692=21,L692,0)</f>
        <v>3403.366</v>
      </c>
      <c r="AN692" s="35">
        <v>21</v>
      </c>
      <c r="AO692" s="35">
        <f>I692*0</f>
        <v>0</v>
      </c>
      <c r="AP692" s="35">
        <f>I692*(1-0)</f>
        <v>34</v>
      </c>
      <c r="AQ692" s="78" t="s">
        <v>109</v>
      </c>
      <c r="AV692" s="35">
        <f>AW692+AX692</f>
        <v>3403.366</v>
      </c>
      <c r="AW692" s="35">
        <f>H692*AO692</f>
        <v>0</v>
      </c>
      <c r="AX692" s="35">
        <f>H692*AP692</f>
        <v>3403.366</v>
      </c>
      <c r="AY692" s="80" t="s">
        <v>1713</v>
      </c>
      <c r="AZ692" s="80" t="s">
        <v>1767</v>
      </c>
      <c r="BA692" s="77" t="s">
        <v>1784</v>
      </c>
      <c r="BC692" s="35">
        <f>AW692+AX692</f>
        <v>3403.366</v>
      </c>
      <c r="BD692" s="35">
        <f>I692/(100-BE692)*100</f>
        <v>34</v>
      </c>
      <c r="BE692" s="35">
        <v>0</v>
      </c>
      <c r="BF692" s="35">
        <f>692</f>
        <v>692</v>
      </c>
      <c r="BH692" s="64">
        <f>H692*AO692</f>
        <v>0</v>
      </c>
      <c r="BI692" s="64">
        <f>H692*AP692</f>
        <v>3403.366</v>
      </c>
      <c r="BJ692" s="64">
        <f>H692*I692</f>
        <v>3403.366</v>
      </c>
      <c r="BK692" s="64" t="s">
        <v>1790</v>
      </c>
      <c r="BL692" s="35">
        <v>56</v>
      </c>
    </row>
    <row r="693" spans="1:64">
      <c r="A693" s="47" t="s">
        <v>669</v>
      </c>
      <c r="B693" s="55" t="s">
        <v>71</v>
      </c>
      <c r="C693" s="55" t="s">
        <v>1081</v>
      </c>
      <c r="D693" s="165" t="s">
        <v>1584</v>
      </c>
      <c r="E693" s="166"/>
      <c r="F693" s="166"/>
      <c r="G693" s="55" t="s">
        <v>1632</v>
      </c>
      <c r="H693" s="64">
        <v>44.31</v>
      </c>
      <c r="I693" s="64">
        <v>31</v>
      </c>
      <c r="J693" s="64">
        <f>H693*AO693</f>
        <v>0</v>
      </c>
      <c r="K693" s="64">
        <f>H693*AP693</f>
        <v>1373.6100000000001</v>
      </c>
      <c r="L693" s="64">
        <f>H693*I693</f>
        <v>1373.6100000000001</v>
      </c>
      <c r="M693" s="73" t="s">
        <v>1657</v>
      </c>
      <c r="N693" s="19"/>
      <c r="Z693" s="35">
        <f>IF(AQ693="5",BJ693,0)</f>
        <v>0</v>
      </c>
      <c r="AB693" s="35">
        <f>IF(AQ693="1",BH693,0)</f>
        <v>0</v>
      </c>
      <c r="AC693" s="35">
        <f>IF(AQ693="1",BI693,0)</f>
        <v>1373.6100000000001</v>
      </c>
      <c r="AD693" s="35">
        <f>IF(AQ693="7",BH693,0)</f>
        <v>0</v>
      </c>
      <c r="AE693" s="35">
        <f>IF(AQ693="7",BI693,0)</f>
        <v>0</v>
      </c>
      <c r="AF693" s="35">
        <f>IF(AQ693="2",BH693,0)</f>
        <v>0</v>
      </c>
      <c r="AG693" s="35">
        <f>IF(AQ693="2",BI693,0)</f>
        <v>0</v>
      </c>
      <c r="AH693" s="35">
        <f>IF(AQ693="0",BJ693,0)</f>
        <v>0</v>
      </c>
      <c r="AI693" s="77" t="s">
        <v>71</v>
      </c>
      <c r="AJ693" s="64">
        <f>IF(AN693=0,L693,0)</f>
        <v>0</v>
      </c>
      <c r="AK693" s="64">
        <f>IF(AN693=15,L693,0)</f>
        <v>0</v>
      </c>
      <c r="AL693" s="64">
        <f>IF(AN693=21,L693,0)</f>
        <v>1373.6100000000001</v>
      </c>
      <c r="AN693" s="35">
        <v>21</v>
      </c>
      <c r="AO693" s="35">
        <f>I693*0</f>
        <v>0</v>
      </c>
      <c r="AP693" s="35">
        <f>I693*(1-0)</f>
        <v>31</v>
      </c>
      <c r="AQ693" s="78" t="s">
        <v>109</v>
      </c>
      <c r="AV693" s="35">
        <f>AW693+AX693</f>
        <v>1373.6100000000001</v>
      </c>
      <c r="AW693" s="35">
        <f>H693*AO693</f>
        <v>0</v>
      </c>
      <c r="AX693" s="35">
        <f>H693*AP693</f>
        <v>1373.6100000000001</v>
      </c>
      <c r="AY693" s="80" t="s">
        <v>1713</v>
      </c>
      <c r="AZ693" s="80" t="s">
        <v>1767</v>
      </c>
      <c r="BA693" s="77" t="s">
        <v>1784</v>
      </c>
      <c r="BC693" s="35">
        <f>AW693+AX693</f>
        <v>1373.6100000000001</v>
      </c>
      <c r="BD693" s="35">
        <f>I693/(100-BE693)*100</f>
        <v>31</v>
      </c>
      <c r="BE693" s="35">
        <v>0</v>
      </c>
      <c r="BF693" s="35">
        <f>693</f>
        <v>693</v>
      </c>
      <c r="BH693" s="64">
        <f>H693*AO693</f>
        <v>0</v>
      </c>
      <c r="BI693" s="64">
        <f>H693*AP693</f>
        <v>1373.6100000000001</v>
      </c>
      <c r="BJ693" s="64">
        <f>H693*I693</f>
        <v>1373.6100000000001</v>
      </c>
      <c r="BK693" s="64" t="s">
        <v>1790</v>
      </c>
      <c r="BL693" s="35">
        <v>56</v>
      </c>
    </row>
    <row r="694" spans="1:64">
      <c r="A694" s="46"/>
      <c r="B694" s="54" t="s">
        <v>71</v>
      </c>
      <c r="C694" s="54" t="s">
        <v>175</v>
      </c>
      <c r="D694" s="163" t="s">
        <v>225</v>
      </c>
      <c r="E694" s="164"/>
      <c r="F694" s="164"/>
      <c r="G694" s="61" t="s">
        <v>57</v>
      </c>
      <c r="H694" s="61" t="s">
        <v>57</v>
      </c>
      <c r="I694" s="61" t="s">
        <v>57</v>
      </c>
      <c r="J694" s="83">
        <f>SUM(J695:J695)</f>
        <v>0</v>
      </c>
      <c r="K694" s="83">
        <f>SUM(K695:K695)</f>
        <v>8862</v>
      </c>
      <c r="L694" s="83">
        <f>SUM(L695:L695)</f>
        <v>8862</v>
      </c>
      <c r="M694" s="72"/>
      <c r="N694" s="19"/>
      <c r="AI694" s="77" t="s">
        <v>71</v>
      </c>
      <c r="AS694" s="83">
        <f>SUM(AJ695:AJ695)</f>
        <v>0</v>
      </c>
      <c r="AT694" s="83">
        <f>SUM(AK695:AK695)</f>
        <v>0</v>
      </c>
      <c r="AU694" s="83">
        <f>SUM(AL695:AL695)</f>
        <v>8862</v>
      </c>
    </row>
    <row r="695" spans="1:64">
      <c r="A695" s="47" t="s">
        <v>670</v>
      </c>
      <c r="B695" s="55" t="s">
        <v>71</v>
      </c>
      <c r="C695" s="55" t="s">
        <v>1082</v>
      </c>
      <c r="D695" s="165" t="s">
        <v>1585</v>
      </c>
      <c r="E695" s="166"/>
      <c r="F695" s="166"/>
      <c r="G695" s="55" t="s">
        <v>1632</v>
      </c>
      <c r="H695" s="64">
        <v>44.31</v>
      </c>
      <c r="I695" s="64">
        <v>200</v>
      </c>
      <c r="J695" s="64">
        <f>H695*AO695</f>
        <v>0</v>
      </c>
      <c r="K695" s="64">
        <f>H695*AP695</f>
        <v>8862</v>
      </c>
      <c r="L695" s="64">
        <f>H695*I695</f>
        <v>8862</v>
      </c>
      <c r="M695" s="73" t="s">
        <v>1657</v>
      </c>
      <c r="N695" s="19"/>
      <c r="Z695" s="35">
        <f>IF(AQ695="5",BJ695,0)</f>
        <v>0</v>
      </c>
      <c r="AB695" s="35">
        <f>IF(AQ695="1",BH695,0)</f>
        <v>0</v>
      </c>
      <c r="AC695" s="35">
        <f>IF(AQ695="1",BI695,0)</f>
        <v>8862</v>
      </c>
      <c r="AD695" s="35">
        <f>IF(AQ695="7",BH695,0)</f>
        <v>0</v>
      </c>
      <c r="AE695" s="35">
        <f>IF(AQ695="7",BI695,0)</f>
        <v>0</v>
      </c>
      <c r="AF695" s="35">
        <f>IF(AQ695="2",BH695,0)</f>
        <v>0</v>
      </c>
      <c r="AG695" s="35">
        <f>IF(AQ695="2",BI695,0)</f>
        <v>0</v>
      </c>
      <c r="AH695" s="35">
        <f>IF(AQ695="0",BJ695,0)</f>
        <v>0</v>
      </c>
      <c r="AI695" s="77" t="s">
        <v>71</v>
      </c>
      <c r="AJ695" s="64">
        <f>IF(AN695=0,L695,0)</f>
        <v>0</v>
      </c>
      <c r="AK695" s="64">
        <f>IF(AN695=15,L695,0)</f>
        <v>0</v>
      </c>
      <c r="AL695" s="64">
        <f>IF(AN695=21,L695,0)</f>
        <v>8862</v>
      </c>
      <c r="AN695" s="35">
        <v>21</v>
      </c>
      <c r="AO695" s="35">
        <f>I695*0</f>
        <v>0</v>
      </c>
      <c r="AP695" s="35">
        <f>I695*(1-0)</f>
        <v>200</v>
      </c>
      <c r="AQ695" s="78" t="s">
        <v>109</v>
      </c>
      <c r="AV695" s="35">
        <f>AW695+AX695</f>
        <v>8862</v>
      </c>
      <c r="AW695" s="35">
        <f>H695*AO695</f>
        <v>0</v>
      </c>
      <c r="AX695" s="35">
        <f>H695*AP695</f>
        <v>8862</v>
      </c>
      <c r="AY695" s="80" t="s">
        <v>1714</v>
      </c>
      <c r="AZ695" s="80" t="s">
        <v>1767</v>
      </c>
      <c r="BA695" s="77" t="s">
        <v>1784</v>
      </c>
      <c r="BC695" s="35">
        <f>AW695+AX695</f>
        <v>8862</v>
      </c>
      <c r="BD695" s="35">
        <f>I695/(100-BE695)*100</f>
        <v>200</v>
      </c>
      <c r="BE695" s="35">
        <v>0</v>
      </c>
      <c r="BF695" s="35">
        <f>695</f>
        <v>695</v>
      </c>
      <c r="BH695" s="64">
        <f>H695*AO695</f>
        <v>0</v>
      </c>
      <c r="BI695" s="64">
        <f>H695*AP695</f>
        <v>8862</v>
      </c>
      <c r="BJ695" s="64">
        <f>H695*I695</f>
        <v>8862</v>
      </c>
      <c r="BK695" s="64" t="s">
        <v>1790</v>
      </c>
      <c r="BL695" s="35">
        <v>57</v>
      </c>
    </row>
    <row r="696" spans="1:64">
      <c r="A696" s="46"/>
      <c r="B696" s="54" t="s">
        <v>71</v>
      </c>
      <c r="C696" s="54" t="s">
        <v>176</v>
      </c>
      <c r="D696" s="163" t="s">
        <v>226</v>
      </c>
      <c r="E696" s="164"/>
      <c r="F696" s="164"/>
      <c r="G696" s="61" t="s">
        <v>57</v>
      </c>
      <c r="H696" s="61" t="s">
        <v>57</v>
      </c>
      <c r="I696" s="61" t="s">
        <v>57</v>
      </c>
      <c r="J696" s="83">
        <f>SUM(J697:J697)</f>
        <v>0</v>
      </c>
      <c r="K696" s="83">
        <f>SUM(K697:K697)</f>
        <v>3616.7999999999997</v>
      </c>
      <c r="L696" s="83">
        <f>SUM(L697:L697)</f>
        <v>3616.7999999999997</v>
      </c>
      <c r="M696" s="72"/>
      <c r="N696" s="19"/>
      <c r="AI696" s="77" t="s">
        <v>71</v>
      </c>
      <c r="AS696" s="83">
        <f>SUM(AJ697:AJ697)</f>
        <v>0</v>
      </c>
      <c r="AT696" s="83">
        <f>SUM(AK697:AK697)</f>
        <v>0</v>
      </c>
      <c r="AU696" s="83">
        <f>SUM(AL697:AL697)</f>
        <v>3616.7999999999997</v>
      </c>
    </row>
    <row r="697" spans="1:64">
      <c r="A697" s="47" t="s">
        <v>671</v>
      </c>
      <c r="B697" s="55" t="s">
        <v>71</v>
      </c>
      <c r="C697" s="55" t="s">
        <v>1083</v>
      </c>
      <c r="D697" s="165" t="s">
        <v>1586</v>
      </c>
      <c r="E697" s="166"/>
      <c r="F697" s="166"/>
      <c r="G697" s="55" t="s">
        <v>1632</v>
      </c>
      <c r="H697" s="64">
        <v>13.151999999999999</v>
      </c>
      <c r="I697" s="64">
        <v>275</v>
      </c>
      <c r="J697" s="64">
        <f>H697*AO697</f>
        <v>0</v>
      </c>
      <c r="K697" s="64">
        <f>H697*AP697</f>
        <v>3616.7999999999997</v>
      </c>
      <c r="L697" s="64">
        <f>H697*I697</f>
        <v>3616.7999999999997</v>
      </c>
      <c r="M697" s="73" t="s">
        <v>1657</v>
      </c>
      <c r="N697" s="19"/>
      <c r="Z697" s="35">
        <f>IF(AQ697="5",BJ697,0)</f>
        <v>0</v>
      </c>
      <c r="AB697" s="35">
        <f>IF(AQ697="1",BH697,0)</f>
        <v>0</v>
      </c>
      <c r="AC697" s="35">
        <f>IF(AQ697="1",BI697,0)</f>
        <v>3616.7999999999997</v>
      </c>
      <c r="AD697" s="35">
        <f>IF(AQ697="7",BH697,0)</f>
        <v>0</v>
      </c>
      <c r="AE697" s="35">
        <f>IF(AQ697="7",BI697,0)</f>
        <v>0</v>
      </c>
      <c r="AF697" s="35">
        <f>IF(AQ697="2",BH697,0)</f>
        <v>0</v>
      </c>
      <c r="AG697" s="35">
        <f>IF(AQ697="2",BI697,0)</f>
        <v>0</v>
      </c>
      <c r="AH697" s="35">
        <f>IF(AQ697="0",BJ697,0)</f>
        <v>0</v>
      </c>
      <c r="AI697" s="77" t="s">
        <v>71</v>
      </c>
      <c r="AJ697" s="64">
        <f>IF(AN697=0,L697,0)</f>
        <v>0</v>
      </c>
      <c r="AK697" s="64">
        <f>IF(AN697=15,L697,0)</f>
        <v>0</v>
      </c>
      <c r="AL697" s="64">
        <f>IF(AN697=21,L697,0)</f>
        <v>3616.7999999999997</v>
      </c>
      <c r="AN697" s="35">
        <v>21</v>
      </c>
      <c r="AO697" s="35">
        <f>I697*0</f>
        <v>0</v>
      </c>
      <c r="AP697" s="35">
        <f>I697*(1-0)</f>
        <v>275</v>
      </c>
      <c r="AQ697" s="78" t="s">
        <v>109</v>
      </c>
      <c r="AV697" s="35">
        <f>AW697+AX697</f>
        <v>3616.7999999999997</v>
      </c>
      <c r="AW697" s="35">
        <f>H697*AO697</f>
        <v>0</v>
      </c>
      <c r="AX697" s="35">
        <f>H697*AP697</f>
        <v>3616.7999999999997</v>
      </c>
      <c r="AY697" s="80" t="s">
        <v>1715</v>
      </c>
      <c r="AZ697" s="80" t="s">
        <v>1767</v>
      </c>
      <c r="BA697" s="77" t="s">
        <v>1784</v>
      </c>
      <c r="BC697" s="35">
        <f>AW697+AX697</f>
        <v>3616.7999999999997</v>
      </c>
      <c r="BD697" s="35">
        <f>I697/(100-BE697)*100</f>
        <v>275</v>
      </c>
      <c r="BE697" s="35">
        <v>0</v>
      </c>
      <c r="BF697" s="35">
        <f>697</f>
        <v>697</v>
      </c>
      <c r="BH697" s="64">
        <f>H697*AO697</f>
        <v>0</v>
      </c>
      <c r="BI697" s="64">
        <f>H697*AP697</f>
        <v>3616.7999999999997</v>
      </c>
      <c r="BJ697" s="64">
        <f>H697*I697</f>
        <v>3616.7999999999997</v>
      </c>
      <c r="BK697" s="64" t="s">
        <v>1790</v>
      </c>
      <c r="BL697" s="35">
        <v>58</v>
      </c>
    </row>
    <row r="698" spans="1:64">
      <c r="A698" s="46"/>
      <c r="B698" s="54" t="s">
        <v>71</v>
      </c>
      <c r="C698" s="54" t="s">
        <v>177</v>
      </c>
      <c r="D698" s="163" t="s">
        <v>227</v>
      </c>
      <c r="E698" s="164"/>
      <c r="F698" s="164"/>
      <c r="G698" s="61" t="s">
        <v>57</v>
      </c>
      <c r="H698" s="61" t="s">
        <v>57</v>
      </c>
      <c r="I698" s="61" t="s">
        <v>57</v>
      </c>
      <c r="J698" s="83">
        <f>SUM(J699:J704)</f>
        <v>67596.218550000005</v>
      </c>
      <c r="K698" s="83">
        <f>SUM(K699:K704)</f>
        <v>50937.582999999999</v>
      </c>
      <c r="L698" s="83">
        <f>SUM(L699:L704)</f>
        <v>118533.80155</v>
      </c>
      <c r="M698" s="72"/>
      <c r="N698" s="19"/>
      <c r="AI698" s="77" t="s">
        <v>71</v>
      </c>
      <c r="AS698" s="83">
        <f>SUM(AJ699:AJ704)</f>
        <v>0</v>
      </c>
      <c r="AT698" s="83">
        <f>SUM(AK699:AK704)</f>
        <v>0</v>
      </c>
      <c r="AU698" s="83">
        <f>SUM(AL699:AL704)</f>
        <v>118533.80155</v>
      </c>
    </row>
    <row r="699" spans="1:64">
      <c r="A699" s="47" t="s">
        <v>672</v>
      </c>
      <c r="B699" s="55" t="s">
        <v>71</v>
      </c>
      <c r="C699" s="55" t="s">
        <v>1084</v>
      </c>
      <c r="D699" s="165" t="s">
        <v>1587</v>
      </c>
      <c r="E699" s="166"/>
      <c r="F699" s="166"/>
      <c r="G699" s="55" t="s">
        <v>1632</v>
      </c>
      <c r="H699" s="64">
        <v>81.599000000000004</v>
      </c>
      <c r="I699" s="64">
        <v>177</v>
      </c>
      <c r="J699" s="64">
        <f t="shared" ref="J699:J704" si="446">H699*AO699</f>
        <v>0</v>
      </c>
      <c r="K699" s="64">
        <f t="shared" ref="K699:K704" si="447">H699*AP699</f>
        <v>14443.023000000001</v>
      </c>
      <c r="L699" s="64">
        <f t="shared" ref="L699:L704" si="448">H699*I699</f>
        <v>14443.023000000001</v>
      </c>
      <c r="M699" s="73" t="s">
        <v>1657</v>
      </c>
      <c r="N699" s="19"/>
      <c r="Z699" s="35">
        <f t="shared" ref="Z699:Z704" si="449">IF(AQ699="5",BJ699,0)</f>
        <v>0</v>
      </c>
      <c r="AB699" s="35">
        <f t="shared" ref="AB699:AB704" si="450">IF(AQ699="1",BH699,0)</f>
        <v>0</v>
      </c>
      <c r="AC699" s="35">
        <f t="shared" ref="AC699:AC704" si="451">IF(AQ699="1",BI699,0)</f>
        <v>14443.023000000001</v>
      </c>
      <c r="AD699" s="35">
        <f t="shared" ref="AD699:AD704" si="452">IF(AQ699="7",BH699,0)</f>
        <v>0</v>
      </c>
      <c r="AE699" s="35">
        <f t="shared" ref="AE699:AE704" si="453">IF(AQ699="7",BI699,0)</f>
        <v>0</v>
      </c>
      <c r="AF699" s="35">
        <f t="shared" ref="AF699:AF704" si="454">IF(AQ699="2",BH699,0)</f>
        <v>0</v>
      </c>
      <c r="AG699" s="35">
        <f t="shared" ref="AG699:AG704" si="455">IF(AQ699="2",BI699,0)</f>
        <v>0</v>
      </c>
      <c r="AH699" s="35">
        <f t="shared" ref="AH699:AH704" si="456">IF(AQ699="0",BJ699,0)</f>
        <v>0</v>
      </c>
      <c r="AI699" s="77" t="s">
        <v>71</v>
      </c>
      <c r="AJ699" s="64">
        <f t="shared" ref="AJ699:AJ704" si="457">IF(AN699=0,L699,0)</f>
        <v>0</v>
      </c>
      <c r="AK699" s="64">
        <f t="shared" ref="AK699:AK704" si="458">IF(AN699=15,L699,0)</f>
        <v>0</v>
      </c>
      <c r="AL699" s="64">
        <f t="shared" ref="AL699:AL704" si="459">IF(AN699=21,L699,0)</f>
        <v>14443.023000000001</v>
      </c>
      <c r="AN699" s="35">
        <v>21</v>
      </c>
      <c r="AO699" s="35">
        <f>I699*0</f>
        <v>0</v>
      </c>
      <c r="AP699" s="35">
        <f>I699*(1-0)</f>
        <v>177</v>
      </c>
      <c r="AQ699" s="78" t="s">
        <v>109</v>
      </c>
      <c r="AV699" s="35">
        <f t="shared" ref="AV699:AV704" si="460">AW699+AX699</f>
        <v>14443.023000000001</v>
      </c>
      <c r="AW699" s="35">
        <f t="shared" ref="AW699:AW704" si="461">H699*AO699</f>
        <v>0</v>
      </c>
      <c r="AX699" s="35">
        <f t="shared" ref="AX699:AX704" si="462">H699*AP699</f>
        <v>14443.023000000001</v>
      </c>
      <c r="AY699" s="80" t="s">
        <v>1716</v>
      </c>
      <c r="AZ699" s="80" t="s">
        <v>1767</v>
      </c>
      <c r="BA699" s="77" t="s">
        <v>1784</v>
      </c>
      <c r="BC699" s="35">
        <f t="shared" ref="BC699:BC704" si="463">AW699+AX699</f>
        <v>14443.023000000001</v>
      </c>
      <c r="BD699" s="35">
        <f t="shared" ref="BD699:BD704" si="464">I699/(100-BE699)*100</f>
        <v>177</v>
      </c>
      <c r="BE699" s="35">
        <v>0</v>
      </c>
      <c r="BF699" s="35">
        <f>699</f>
        <v>699</v>
      </c>
      <c r="BH699" s="64">
        <f t="shared" ref="BH699:BH704" si="465">H699*AO699</f>
        <v>0</v>
      </c>
      <c r="BI699" s="64">
        <f t="shared" ref="BI699:BI704" si="466">H699*AP699</f>
        <v>14443.023000000001</v>
      </c>
      <c r="BJ699" s="64">
        <f t="shared" ref="BJ699:BJ704" si="467">H699*I699</f>
        <v>14443.023000000001</v>
      </c>
      <c r="BK699" s="64" t="s">
        <v>1790</v>
      </c>
      <c r="BL699" s="35">
        <v>59</v>
      </c>
    </row>
    <row r="700" spans="1:64">
      <c r="A700" s="48" t="s">
        <v>673</v>
      </c>
      <c r="B700" s="56" t="s">
        <v>71</v>
      </c>
      <c r="C700" s="56" t="s">
        <v>1085</v>
      </c>
      <c r="D700" s="170" t="s">
        <v>1588</v>
      </c>
      <c r="E700" s="171"/>
      <c r="F700" s="171"/>
      <c r="G700" s="56" t="s">
        <v>1632</v>
      </c>
      <c r="H700" s="65">
        <v>85.67895</v>
      </c>
      <c r="I700" s="65">
        <v>249</v>
      </c>
      <c r="J700" s="65">
        <f t="shared" si="446"/>
        <v>21334.058550000002</v>
      </c>
      <c r="K700" s="65">
        <f t="shared" si="447"/>
        <v>0</v>
      </c>
      <c r="L700" s="65">
        <f t="shared" si="448"/>
        <v>21334.058550000002</v>
      </c>
      <c r="M700" s="74" t="s">
        <v>1657</v>
      </c>
      <c r="N700" s="19"/>
      <c r="Z700" s="35">
        <f t="shared" si="449"/>
        <v>0</v>
      </c>
      <c r="AB700" s="35">
        <f t="shared" si="450"/>
        <v>21334.058550000002</v>
      </c>
      <c r="AC700" s="35">
        <f t="shared" si="451"/>
        <v>0</v>
      </c>
      <c r="AD700" s="35">
        <f t="shared" si="452"/>
        <v>0</v>
      </c>
      <c r="AE700" s="35">
        <f t="shared" si="453"/>
        <v>0</v>
      </c>
      <c r="AF700" s="35">
        <f t="shared" si="454"/>
        <v>0</v>
      </c>
      <c r="AG700" s="35">
        <f t="shared" si="455"/>
        <v>0</v>
      </c>
      <c r="AH700" s="35">
        <f t="shared" si="456"/>
        <v>0</v>
      </c>
      <c r="AI700" s="77" t="s">
        <v>71</v>
      </c>
      <c r="AJ700" s="65">
        <f t="shared" si="457"/>
        <v>0</v>
      </c>
      <c r="AK700" s="65">
        <f t="shared" si="458"/>
        <v>0</v>
      </c>
      <c r="AL700" s="65">
        <f t="shared" si="459"/>
        <v>21334.058550000002</v>
      </c>
      <c r="AN700" s="35">
        <v>21</v>
      </c>
      <c r="AO700" s="35">
        <f>I700*1</f>
        <v>249</v>
      </c>
      <c r="AP700" s="35">
        <f>I700*(1-1)</f>
        <v>0</v>
      </c>
      <c r="AQ700" s="79" t="s">
        <v>109</v>
      </c>
      <c r="AV700" s="35">
        <f t="shared" si="460"/>
        <v>21334.058550000002</v>
      </c>
      <c r="AW700" s="35">
        <f t="shared" si="461"/>
        <v>21334.058550000002</v>
      </c>
      <c r="AX700" s="35">
        <f t="shared" si="462"/>
        <v>0</v>
      </c>
      <c r="AY700" s="80" t="s">
        <v>1716</v>
      </c>
      <c r="AZ700" s="80" t="s">
        <v>1767</v>
      </c>
      <c r="BA700" s="77" t="s">
        <v>1784</v>
      </c>
      <c r="BC700" s="35">
        <f t="shared" si="463"/>
        <v>21334.058550000002</v>
      </c>
      <c r="BD700" s="35">
        <f t="shared" si="464"/>
        <v>249.00000000000003</v>
      </c>
      <c r="BE700" s="35">
        <v>0</v>
      </c>
      <c r="BF700" s="35">
        <f>700</f>
        <v>700</v>
      </c>
      <c r="BH700" s="65">
        <f t="shared" si="465"/>
        <v>21334.058550000002</v>
      </c>
      <c r="BI700" s="65">
        <f t="shared" si="466"/>
        <v>0</v>
      </c>
      <c r="BJ700" s="65">
        <f t="shared" si="467"/>
        <v>21334.058550000002</v>
      </c>
      <c r="BK700" s="65" t="s">
        <v>1642</v>
      </c>
      <c r="BL700" s="35">
        <v>59</v>
      </c>
    </row>
    <row r="701" spans="1:64">
      <c r="A701" s="47" t="s">
        <v>674</v>
      </c>
      <c r="B701" s="55" t="s">
        <v>71</v>
      </c>
      <c r="C701" s="55" t="s">
        <v>1086</v>
      </c>
      <c r="D701" s="165" t="s">
        <v>1589</v>
      </c>
      <c r="E701" s="166"/>
      <c r="F701" s="166"/>
      <c r="G701" s="55" t="s">
        <v>1633</v>
      </c>
      <c r="H701" s="64">
        <v>95.46</v>
      </c>
      <c r="I701" s="64">
        <v>167</v>
      </c>
      <c r="J701" s="64">
        <f t="shared" si="446"/>
        <v>0</v>
      </c>
      <c r="K701" s="64">
        <f t="shared" si="447"/>
        <v>15941.82</v>
      </c>
      <c r="L701" s="64">
        <f t="shared" si="448"/>
        <v>15941.82</v>
      </c>
      <c r="M701" s="73" t="s">
        <v>1657</v>
      </c>
      <c r="N701" s="19"/>
      <c r="Z701" s="35">
        <f t="shared" si="449"/>
        <v>0</v>
      </c>
      <c r="AB701" s="35">
        <f t="shared" si="450"/>
        <v>0</v>
      </c>
      <c r="AC701" s="35">
        <f t="shared" si="451"/>
        <v>15941.82</v>
      </c>
      <c r="AD701" s="35">
        <f t="shared" si="452"/>
        <v>0</v>
      </c>
      <c r="AE701" s="35">
        <f t="shared" si="453"/>
        <v>0</v>
      </c>
      <c r="AF701" s="35">
        <f t="shared" si="454"/>
        <v>0</v>
      </c>
      <c r="AG701" s="35">
        <f t="shared" si="455"/>
        <v>0</v>
      </c>
      <c r="AH701" s="35">
        <f t="shared" si="456"/>
        <v>0</v>
      </c>
      <c r="AI701" s="77" t="s">
        <v>71</v>
      </c>
      <c r="AJ701" s="64">
        <f t="shared" si="457"/>
        <v>0</v>
      </c>
      <c r="AK701" s="64">
        <f t="shared" si="458"/>
        <v>0</v>
      </c>
      <c r="AL701" s="64">
        <f t="shared" si="459"/>
        <v>15941.82</v>
      </c>
      <c r="AN701" s="35">
        <v>21</v>
      </c>
      <c r="AO701" s="35">
        <f>I701*0</f>
        <v>0</v>
      </c>
      <c r="AP701" s="35">
        <f>I701*(1-0)</f>
        <v>167</v>
      </c>
      <c r="AQ701" s="78" t="s">
        <v>109</v>
      </c>
      <c r="AV701" s="35">
        <f t="shared" si="460"/>
        <v>15941.82</v>
      </c>
      <c r="AW701" s="35">
        <f t="shared" si="461"/>
        <v>0</v>
      </c>
      <c r="AX701" s="35">
        <f t="shared" si="462"/>
        <v>15941.82</v>
      </c>
      <c r="AY701" s="80" t="s">
        <v>1716</v>
      </c>
      <c r="AZ701" s="80" t="s">
        <v>1767</v>
      </c>
      <c r="BA701" s="77" t="s">
        <v>1784</v>
      </c>
      <c r="BC701" s="35">
        <f t="shared" si="463"/>
        <v>15941.82</v>
      </c>
      <c r="BD701" s="35">
        <f t="shared" si="464"/>
        <v>167</v>
      </c>
      <c r="BE701" s="35">
        <v>0</v>
      </c>
      <c r="BF701" s="35">
        <f>701</f>
        <v>701</v>
      </c>
      <c r="BH701" s="64">
        <f t="shared" si="465"/>
        <v>0</v>
      </c>
      <c r="BI701" s="64">
        <f t="shared" si="466"/>
        <v>15941.82</v>
      </c>
      <c r="BJ701" s="64">
        <f t="shared" si="467"/>
        <v>15941.82</v>
      </c>
      <c r="BK701" s="64" t="s">
        <v>1790</v>
      </c>
      <c r="BL701" s="35">
        <v>59</v>
      </c>
    </row>
    <row r="702" spans="1:64">
      <c r="A702" s="47" t="s">
        <v>675</v>
      </c>
      <c r="B702" s="55" t="s">
        <v>71</v>
      </c>
      <c r="C702" s="55" t="s">
        <v>1087</v>
      </c>
      <c r="D702" s="165" t="s">
        <v>1590</v>
      </c>
      <c r="E702" s="166"/>
      <c r="F702" s="166"/>
      <c r="G702" s="55" t="s">
        <v>1632</v>
      </c>
      <c r="H702" s="64">
        <v>18.5</v>
      </c>
      <c r="I702" s="64">
        <v>137</v>
      </c>
      <c r="J702" s="64">
        <f t="shared" si="446"/>
        <v>0</v>
      </c>
      <c r="K702" s="64">
        <f t="shared" si="447"/>
        <v>2534.5</v>
      </c>
      <c r="L702" s="64">
        <f t="shared" si="448"/>
        <v>2534.5</v>
      </c>
      <c r="M702" s="73" t="s">
        <v>1657</v>
      </c>
      <c r="N702" s="19"/>
      <c r="Z702" s="35">
        <f t="shared" si="449"/>
        <v>0</v>
      </c>
      <c r="AB702" s="35">
        <f t="shared" si="450"/>
        <v>0</v>
      </c>
      <c r="AC702" s="35">
        <f t="shared" si="451"/>
        <v>2534.5</v>
      </c>
      <c r="AD702" s="35">
        <f t="shared" si="452"/>
        <v>0</v>
      </c>
      <c r="AE702" s="35">
        <f t="shared" si="453"/>
        <v>0</v>
      </c>
      <c r="AF702" s="35">
        <f t="shared" si="454"/>
        <v>0</v>
      </c>
      <c r="AG702" s="35">
        <f t="shared" si="455"/>
        <v>0</v>
      </c>
      <c r="AH702" s="35">
        <f t="shared" si="456"/>
        <v>0</v>
      </c>
      <c r="AI702" s="77" t="s">
        <v>71</v>
      </c>
      <c r="AJ702" s="64">
        <f t="shared" si="457"/>
        <v>0</v>
      </c>
      <c r="AK702" s="64">
        <f t="shared" si="458"/>
        <v>0</v>
      </c>
      <c r="AL702" s="64">
        <f t="shared" si="459"/>
        <v>2534.5</v>
      </c>
      <c r="AN702" s="35">
        <v>21</v>
      </c>
      <c r="AO702" s="35">
        <f>I702*0</f>
        <v>0</v>
      </c>
      <c r="AP702" s="35">
        <f>I702*(1-0)</f>
        <v>137</v>
      </c>
      <c r="AQ702" s="78" t="s">
        <v>109</v>
      </c>
      <c r="AV702" s="35">
        <f t="shared" si="460"/>
        <v>2534.5</v>
      </c>
      <c r="AW702" s="35">
        <f t="shared" si="461"/>
        <v>0</v>
      </c>
      <c r="AX702" s="35">
        <f t="shared" si="462"/>
        <v>2534.5</v>
      </c>
      <c r="AY702" s="80" t="s">
        <v>1716</v>
      </c>
      <c r="AZ702" s="80" t="s">
        <v>1767</v>
      </c>
      <c r="BA702" s="77" t="s">
        <v>1784</v>
      </c>
      <c r="BC702" s="35">
        <f t="shared" si="463"/>
        <v>2534.5</v>
      </c>
      <c r="BD702" s="35">
        <f t="shared" si="464"/>
        <v>137</v>
      </c>
      <c r="BE702" s="35">
        <v>0</v>
      </c>
      <c r="BF702" s="35">
        <f>702</f>
        <v>702</v>
      </c>
      <c r="BH702" s="64">
        <f t="shared" si="465"/>
        <v>0</v>
      </c>
      <c r="BI702" s="64">
        <f t="shared" si="466"/>
        <v>2534.5</v>
      </c>
      <c r="BJ702" s="64">
        <f t="shared" si="467"/>
        <v>2534.5</v>
      </c>
      <c r="BK702" s="64" t="s">
        <v>1790</v>
      </c>
      <c r="BL702" s="35">
        <v>59</v>
      </c>
    </row>
    <row r="703" spans="1:64">
      <c r="A703" s="47" t="s">
        <v>676</v>
      </c>
      <c r="B703" s="55" t="s">
        <v>71</v>
      </c>
      <c r="C703" s="55" t="s">
        <v>1087</v>
      </c>
      <c r="D703" s="165" t="s">
        <v>1590</v>
      </c>
      <c r="E703" s="166"/>
      <c r="F703" s="166"/>
      <c r="G703" s="55" t="s">
        <v>1632</v>
      </c>
      <c r="H703" s="64">
        <v>131.52000000000001</v>
      </c>
      <c r="I703" s="64">
        <v>137</v>
      </c>
      <c r="J703" s="64">
        <f t="shared" si="446"/>
        <v>0</v>
      </c>
      <c r="K703" s="64">
        <f t="shared" si="447"/>
        <v>18018.240000000002</v>
      </c>
      <c r="L703" s="64">
        <f t="shared" si="448"/>
        <v>18018.240000000002</v>
      </c>
      <c r="M703" s="73" t="s">
        <v>1657</v>
      </c>
      <c r="N703" s="19"/>
      <c r="Z703" s="35">
        <f t="shared" si="449"/>
        <v>0</v>
      </c>
      <c r="AB703" s="35">
        <f t="shared" si="450"/>
        <v>0</v>
      </c>
      <c r="AC703" s="35">
        <f t="shared" si="451"/>
        <v>18018.240000000002</v>
      </c>
      <c r="AD703" s="35">
        <f t="shared" si="452"/>
        <v>0</v>
      </c>
      <c r="AE703" s="35">
        <f t="shared" si="453"/>
        <v>0</v>
      </c>
      <c r="AF703" s="35">
        <f t="shared" si="454"/>
        <v>0</v>
      </c>
      <c r="AG703" s="35">
        <f t="shared" si="455"/>
        <v>0</v>
      </c>
      <c r="AH703" s="35">
        <f t="shared" si="456"/>
        <v>0</v>
      </c>
      <c r="AI703" s="77" t="s">
        <v>71</v>
      </c>
      <c r="AJ703" s="64">
        <f t="shared" si="457"/>
        <v>0</v>
      </c>
      <c r="AK703" s="64">
        <f t="shared" si="458"/>
        <v>0</v>
      </c>
      <c r="AL703" s="64">
        <f t="shared" si="459"/>
        <v>18018.240000000002</v>
      </c>
      <c r="AN703" s="35">
        <v>21</v>
      </c>
      <c r="AO703" s="35">
        <f>I703*0</f>
        <v>0</v>
      </c>
      <c r="AP703" s="35">
        <f>I703*(1-0)</f>
        <v>137</v>
      </c>
      <c r="AQ703" s="78" t="s">
        <v>109</v>
      </c>
      <c r="AV703" s="35">
        <f t="shared" si="460"/>
        <v>18018.240000000002</v>
      </c>
      <c r="AW703" s="35">
        <f t="shared" si="461"/>
        <v>0</v>
      </c>
      <c r="AX703" s="35">
        <f t="shared" si="462"/>
        <v>18018.240000000002</v>
      </c>
      <c r="AY703" s="80" t="s">
        <v>1716</v>
      </c>
      <c r="AZ703" s="80" t="s">
        <v>1767</v>
      </c>
      <c r="BA703" s="77" t="s">
        <v>1784</v>
      </c>
      <c r="BC703" s="35">
        <f t="shared" si="463"/>
        <v>18018.240000000002</v>
      </c>
      <c r="BD703" s="35">
        <f t="shared" si="464"/>
        <v>137</v>
      </c>
      <c r="BE703" s="35">
        <v>0</v>
      </c>
      <c r="BF703" s="35">
        <f>703</f>
        <v>703</v>
      </c>
      <c r="BH703" s="64">
        <f t="shared" si="465"/>
        <v>0</v>
      </c>
      <c r="BI703" s="64">
        <f t="shared" si="466"/>
        <v>18018.240000000002</v>
      </c>
      <c r="BJ703" s="64">
        <f t="shared" si="467"/>
        <v>18018.240000000002</v>
      </c>
      <c r="BK703" s="64" t="s">
        <v>1790</v>
      </c>
      <c r="BL703" s="35">
        <v>59</v>
      </c>
    </row>
    <row r="704" spans="1:64">
      <c r="A704" s="48" t="s">
        <v>677</v>
      </c>
      <c r="B704" s="56" t="s">
        <v>71</v>
      </c>
      <c r="C704" s="56" t="s">
        <v>1088</v>
      </c>
      <c r="D704" s="170" t="s">
        <v>1591</v>
      </c>
      <c r="E704" s="171"/>
      <c r="F704" s="171"/>
      <c r="G704" s="56" t="s">
        <v>1632</v>
      </c>
      <c r="H704" s="65">
        <v>138.096</v>
      </c>
      <c r="I704" s="65">
        <v>335</v>
      </c>
      <c r="J704" s="65">
        <f t="shared" si="446"/>
        <v>46262.16</v>
      </c>
      <c r="K704" s="65">
        <f t="shared" si="447"/>
        <v>0</v>
      </c>
      <c r="L704" s="65">
        <f t="shared" si="448"/>
        <v>46262.16</v>
      </c>
      <c r="M704" s="74" t="s">
        <v>1657</v>
      </c>
      <c r="N704" s="19"/>
      <c r="Z704" s="35">
        <f t="shared" si="449"/>
        <v>0</v>
      </c>
      <c r="AB704" s="35">
        <f t="shared" si="450"/>
        <v>46262.16</v>
      </c>
      <c r="AC704" s="35">
        <f t="shared" si="451"/>
        <v>0</v>
      </c>
      <c r="AD704" s="35">
        <f t="shared" si="452"/>
        <v>0</v>
      </c>
      <c r="AE704" s="35">
        <f t="shared" si="453"/>
        <v>0</v>
      </c>
      <c r="AF704" s="35">
        <f t="shared" si="454"/>
        <v>0</v>
      </c>
      <c r="AG704" s="35">
        <f t="shared" si="455"/>
        <v>0</v>
      </c>
      <c r="AH704" s="35">
        <f t="shared" si="456"/>
        <v>0</v>
      </c>
      <c r="AI704" s="77" t="s">
        <v>71</v>
      </c>
      <c r="AJ704" s="65">
        <f t="shared" si="457"/>
        <v>0</v>
      </c>
      <c r="AK704" s="65">
        <f t="shared" si="458"/>
        <v>0</v>
      </c>
      <c r="AL704" s="65">
        <f t="shared" si="459"/>
        <v>46262.16</v>
      </c>
      <c r="AN704" s="35">
        <v>21</v>
      </c>
      <c r="AO704" s="35">
        <f>I704*1</f>
        <v>335</v>
      </c>
      <c r="AP704" s="35">
        <f>I704*(1-1)</f>
        <v>0</v>
      </c>
      <c r="AQ704" s="79" t="s">
        <v>109</v>
      </c>
      <c r="AV704" s="35">
        <f t="shared" si="460"/>
        <v>46262.16</v>
      </c>
      <c r="AW704" s="35">
        <f t="shared" si="461"/>
        <v>46262.16</v>
      </c>
      <c r="AX704" s="35">
        <f t="shared" si="462"/>
        <v>0</v>
      </c>
      <c r="AY704" s="80" t="s">
        <v>1716</v>
      </c>
      <c r="AZ704" s="80" t="s">
        <v>1767</v>
      </c>
      <c r="BA704" s="77" t="s">
        <v>1784</v>
      </c>
      <c r="BC704" s="35">
        <f t="shared" si="463"/>
        <v>46262.16</v>
      </c>
      <c r="BD704" s="35">
        <f t="shared" si="464"/>
        <v>335</v>
      </c>
      <c r="BE704" s="35">
        <v>0</v>
      </c>
      <c r="BF704" s="35">
        <f>704</f>
        <v>704</v>
      </c>
      <c r="BH704" s="65">
        <f t="shared" si="465"/>
        <v>46262.16</v>
      </c>
      <c r="BI704" s="65">
        <f t="shared" si="466"/>
        <v>0</v>
      </c>
      <c r="BJ704" s="65">
        <f t="shared" si="467"/>
        <v>46262.16</v>
      </c>
      <c r="BK704" s="65" t="s">
        <v>1642</v>
      </c>
      <c r="BL704" s="35">
        <v>59</v>
      </c>
    </row>
    <row r="705" spans="1:64">
      <c r="A705" s="46"/>
      <c r="B705" s="54" t="s">
        <v>71</v>
      </c>
      <c r="C705" s="54" t="s">
        <v>178</v>
      </c>
      <c r="D705" s="163" t="s">
        <v>228</v>
      </c>
      <c r="E705" s="164"/>
      <c r="F705" s="164"/>
      <c r="G705" s="61" t="s">
        <v>57</v>
      </c>
      <c r="H705" s="61" t="s">
        <v>57</v>
      </c>
      <c r="I705" s="61" t="s">
        <v>57</v>
      </c>
      <c r="J705" s="83">
        <f>SUM(J706:J708)</f>
        <v>0</v>
      </c>
      <c r="K705" s="83">
        <f>SUM(K706:K708)</f>
        <v>39676.340799999998</v>
      </c>
      <c r="L705" s="83">
        <f>SUM(L706:L708)</f>
        <v>39676.340799999998</v>
      </c>
      <c r="M705" s="72"/>
      <c r="N705" s="19"/>
      <c r="AI705" s="77" t="s">
        <v>71</v>
      </c>
      <c r="AS705" s="83">
        <f>SUM(AJ706:AJ708)</f>
        <v>0</v>
      </c>
      <c r="AT705" s="83">
        <f>SUM(AK706:AK708)</f>
        <v>0</v>
      </c>
      <c r="AU705" s="83">
        <f>SUM(AL706:AL708)</f>
        <v>39676.340799999998</v>
      </c>
    </row>
    <row r="706" spans="1:64">
      <c r="A706" s="47" t="s">
        <v>678</v>
      </c>
      <c r="B706" s="55" t="s">
        <v>71</v>
      </c>
      <c r="C706" s="55" t="s">
        <v>1089</v>
      </c>
      <c r="D706" s="165" t="s">
        <v>1592</v>
      </c>
      <c r="E706" s="166"/>
      <c r="F706" s="166"/>
      <c r="G706" s="55" t="s">
        <v>1631</v>
      </c>
      <c r="H706" s="64">
        <v>17</v>
      </c>
      <c r="I706" s="64">
        <v>112</v>
      </c>
      <c r="J706" s="64">
        <f>H706*AO706</f>
        <v>0</v>
      </c>
      <c r="K706" s="64">
        <f>H706*AP706</f>
        <v>1904</v>
      </c>
      <c r="L706" s="64">
        <f>H706*I706</f>
        <v>1904</v>
      </c>
      <c r="M706" s="73" t="s">
        <v>1657</v>
      </c>
      <c r="N706" s="19"/>
      <c r="Z706" s="35">
        <f>IF(AQ706="5",BJ706,0)</f>
        <v>0</v>
      </c>
      <c r="AB706" s="35">
        <f>IF(AQ706="1",BH706,0)</f>
        <v>0</v>
      </c>
      <c r="AC706" s="35">
        <f>IF(AQ706="1",BI706,0)</f>
        <v>0</v>
      </c>
      <c r="AD706" s="35">
        <f>IF(AQ706="7",BH706,0)</f>
        <v>0</v>
      </c>
      <c r="AE706" s="35">
        <f>IF(AQ706="7",BI706,0)</f>
        <v>1904</v>
      </c>
      <c r="AF706" s="35">
        <f>IF(AQ706="2",BH706,0)</f>
        <v>0</v>
      </c>
      <c r="AG706" s="35">
        <f>IF(AQ706="2",BI706,0)</f>
        <v>0</v>
      </c>
      <c r="AH706" s="35">
        <f>IF(AQ706="0",BJ706,0)</f>
        <v>0</v>
      </c>
      <c r="AI706" s="77" t="s">
        <v>71</v>
      </c>
      <c r="AJ706" s="64">
        <f>IF(AN706=0,L706,0)</f>
        <v>0</v>
      </c>
      <c r="AK706" s="64">
        <f>IF(AN706=15,L706,0)</f>
        <v>0</v>
      </c>
      <c r="AL706" s="64">
        <f>IF(AN706=21,L706,0)</f>
        <v>1904</v>
      </c>
      <c r="AN706" s="35">
        <v>21</v>
      </c>
      <c r="AO706" s="35">
        <f>I706*0</f>
        <v>0</v>
      </c>
      <c r="AP706" s="35">
        <f>I706*(1-0)</f>
        <v>112</v>
      </c>
      <c r="AQ706" s="78" t="s">
        <v>235</v>
      </c>
      <c r="AV706" s="35">
        <f>AW706+AX706</f>
        <v>1904</v>
      </c>
      <c r="AW706" s="35">
        <f>H706*AO706</f>
        <v>0</v>
      </c>
      <c r="AX706" s="35">
        <f>H706*AP706</f>
        <v>1904</v>
      </c>
      <c r="AY706" s="80" t="s">
        <v>1717</v>
      </c>
      <c r="AZ706" s="80" t="s">
        <v>1768</v>
      </c>
      <c r="BA706" s="77" t="s">
        <v>1784</v>
      </c>
      <c r="BC706" s="35">
        <f>AW706+AX706</f>
        <v>1904</v>
      </c>
      <c r="BD706" s="35">
        <f>I706/(100-BE706)*100</f>
        <v>112.00000000000001</v>
      </c>
      <c r="BE706" s="35">
        <v>0</v>
      </c>
      <c r="BF706" s="35">
        <f>706</f>
        <v>706</v>
      </c>
      <c r="BH706" s="64">
        <f>H706*AO706</f>
        <v>0</v>
      </c>
      <c r="BI706" s="64">
        <f>H706*AP706</f>
        <v>1904</v>
      </c>
      <c r="BJ706" s="64">
        <f>H706*I706</f>
        <v>1904</v>
      </c>
      <c r="BK706" s="64" t="s">
        <v>1790</v>
      </c>
      <c r="BL706" s="35">
        <v>721</v>
      </c>
    </row>
    <row r="707" spans="1:64">
      <c r="A707" s="47" t="s">
        <v>679</v>
      </c>
      <c r="B707" s="55" t="s">
        <v>71</v>
      </c>
      <c r="C707" s="55" t="s">
        <v>1090</v>
      </c>
      <c r="D707" s="165" t="s">
        <v>1593</v>
      </c>
      <c r="E707" s="166"/>
      <c r="F707" s="166"/>
      <c r="G707" s="55" t="s">
        <v>1631</v>
      </c>
      <c r="H707" s="64">
        <v>17</v>
      </c>
      <c r="I707" s="64">
        <v>2174</v>
      </c>
      <c r="J707" s="64">
        <f>H707*AO707</f>
        <v>0</v>
      </c>
      <c r="K707" s="64">
        <f>H707*AP707</f>
        <v>36958</v>
      </c>
      <c r="L707" s="64">
        <f>H707*I707</f>
        <v>36958</v>
      </c>
      <c r="M707" s="73" t="s">
        <v>1657</v>
      </c>
      <c r="N707" s="19"/>
      <c r="Z707" s="35">
        <f>IF(AQ707="5",BJ707,0)</f>
        <v>0</v>
      </c>
      <c r="AB707" s="35">
        <f>IF(AQ707="1",BH707,0)</f>
        <v>0</v>
      </c>
      <c r="AC707" s="35">
        <f>IF(AQ707="1",BI707,0)</f>
        <v>0</v>
      </c>
      <c r="AD707" s="35">
        <f>IF(AQ707="7",BH707,0)</f>
        <v>0</v>
      </c>
      <c r="AE707" s="35">
        <f>IF(AQ707="7",BI707,0)</f>
        <v>36958</v>
      </c>
      <c r="AF707" s="35">
        <f>IF(AQ707="2",BH707,0)</f>
        <v>0</v>
      </c>
      <c r="AG707" s="35">
        <f>IF(AQ707="2",BI707,0)</f>
        <v>0</v>
      </c>
      <c r="AH707" s="35">
        <f>IF(AQ707="0",BJ707,0)</f>
        <v>0</v>
      </c>
      <c r="AI707" s="77" t="s">
        <v>71</v>
      </c>
      <c r="AJ707" s="64">
        <f>IF(AN707=0,L707,0)</f>
        <v>0</v>
      </c>
      <c r="AK707" s="64">
        <f>IF(AN707=15,L707,0)</f>
        <v>0</v>
      </c>
      <c r="AL707" s="64">
        <f>IF(AN707=21,L707,0)</f>
        <v>36958</v>
      </c>
      <c r="AN707" s="35">
        <v>21</v>
      </c>
      <c r="AO707" s="35">
        <f>I707*0</f>
        <v>0</v>
      </c>
      <c r="AP707" s="35">
        <f>I707*(1-0)</f>
        <v>2174</v>
      </c>
      <c r="AQ707" s="78" t="s">
        <v>235</v>
      </c>
      <c r="AV707" s="35">
        <f>AW707+AX707</f>
        <v>36958</v>
      </c>
      <c r="AW707" s="35">
        <f>H707*AO707</f>
        <v>0</v>
      </c>
      <c r="AX707" s="35">
        <f>H707*AP707</f>
        <v>36958</v>
      </c>
      <c r="AY707" s="80" t="s">
        <v>1717</v>
      </c>
      <c r="AZ707" s="80" t="s">
        <v>1768</v>
      </c>
      <c r="BA707" s="77" t="s">
        <v>1784</v>
      </c>
      <c r="BC707" s="35">
        <f>AW707+AX707</f>
        <v>36958</v>
      </c>
      <c r="BD707" s="35">
        <f>I707/(100-BE707)*100</f>
        <v>2174</v>
      </c>
      <c r="BE707" s="35">
        <v>0</v>
      </c>
      <c r="BF707" s="35">
        <f>707</f>
        <v>707</v>
      </c>
      <c r="BH707" s="64">
        <f>H707*AO707</f>
        <v>0</v>
      </c>
      <c r="BI707" s="64">
        <f>H707*AP707</f>
        <v>36958</v>
      </c>
      <c r="BJ707" s="64">
        <f>H707*I707</f>
        <v>36958</v>
      </c>
      <c r="BK707" s="64" t="s">
        <v>1790</v>
      </c>
      <c r="BL707" s="35">
        <v>721</v>
      </c>
    </row>
    <row r="708" spans="1:64">
      <c r="A708" s="47" t="s">
        <v>680</v>
      </c>
      <c r="B708" s="55" t="s">
        <v>71</v>
      </c>
      <c r="C708" s="55" t="s">
        <v>1091</v>
      </c>
      <c r="D708" s="165" t="s">
        <v>1594</v>
      </c>
      <c r="E708" s="166"/>
      <c r="F708" s="166"/>
      <c r="G708" s="55" t="s">
        <v>1634</v>
      </c>
      <c r="H708" s="64">
        <v>1.6619200000000001</v>
      </c>
      <c r="I708" s="64">
        <v>490</v>
      </c>
      <c r="J708" s="64">
        <f>H708*AO708</f>
        <v>0</v>
      </c>
      <c r="K708" s="64">
        <f>H708*AP708</f>
        <v>814.34080000000006</v>
      </c>
      <c r="L708" s="64">
        <f>H708*I708</f>
        <v>814.34080000000006</v>
      </c>
      <c r="M708" s="73" t="s">
        <v>1657</v>
      </c>
      <c r="N708" s="19"/>
      <c r="Z708" s="35">
        <f>IF(AQ708="5",BJ708,0)</f>
        <v>814.34080000000006</v>
      </c>
      <c r="AB708" s="35">
        <f>IF(AQ708="1",BH708,0)</f>
        <v>0</v>
      </c>
      <c r="AC708" s="35">
        <f>IF(AQ708="1",BI708,0)</f>
        <v>0</v>
      </c>
      <c r="AD708" s="35">
        <f>IF(AQ708="7",BH708,0)</f>
        <v>0</v>
      </c>
      <c r="AE708" s="35">
        <f>IF(AQ708="7",BI708,0)</f>
        <v>0</v>
      </c>
      <c r="AF708" s="35">
        <f>IF(AQ708="2",BH708,0)</f>
        <v>0</v>
      </c>
      <c r="AG708" s="35">
        <f>IF(AQ708="2",BI708,0)</f>
        <v>0</v>
      </c>
      <c r="AH708" s="35">
        <f>IF(AQ708="0",BJ708,0)</f>
        <v>0</v>
      </c>
      <c r="AI708" s="77" t="s">
        <v>71</v>
      </c>
      <c r="AJ708" s="64">
        <f>IF(AN708=0,L708,0)</f>
        <v>0</v>
      </c>
      <c r="AK708" s="64">
        <f>IF(AN708=15,L708,0)</f>
        <v>0</v>
      </c>
      <c r="AL708" s="64">
        <f>IF(AN708=21,L708,0)</f>
        <v>814.34080000000006</v>
      </c>
      <c r="AN708" s="35">
        <v>21</v>
      </c>
      <c r="AO708" s="35">
        <f>I708*0</f>
        <v>0</v>
      </c>
      <c r="AP708" s="35">
        <f>I708*(1-0)</f>
        <v>490</v>
      </c>
      <c r="AQ708" s="78" t="s">
        <v>112</v>
      </c>
      <c r="AV708" s="35">
        <f>AW708+AX708</f>
        <v>814.34080000000006</v>
      </c>
      <c r="AW708" s="35">
        <f>H708*AO708</f>
        <v>0</v>
      </c>
      <c r="AX708" s="35">
        <f>H708*AP708</f>
        <v>814.34080000000006</v>
      </c>
      <c r="AY708" s="80" t="s">
        <v>1717</v>
      </c>
      <c r="AZ708" s="80" t="s">
        <v>1768</v>
      </c>
      <c r="BA708" s="77" t="s">
        <v>1784</v>
      </c>
      <c r="BC708" s="35">
        <f>AW708+AX708</f>
        <v>814.34080000000006</v>
      </c>
      <c r="BD708" s="35">
        <f>I708/(100-BE708)*100</f>
        <v>490.00000000000006</v>
      </c>
      <c r="BE708" s="35">
        <v>0</v>
      </c>
      <c r="BF708" s="35">
        <f>708</f>
        <v>708</v>
      </c>
      <c r="BH708" s="64">
        <f>H708*AO708</f>
        <v>0</v>
      </c>
      <c r="BI708" s="64">
        <f>H708*AP708</f>
        <v>814.34080000000006</v>
      </c>
      <c r="BJ708" s="64">
        <f>H708*I708</f>
        <v>814.34080000000006</v>
      </c>
      <c r="BK708" s="64" t="s">
        <v>1790</v>
      </c>
      <c r="BL708" s="35">
        <v>721</v>
      </c>
    </row>
    <row r="709" spans="1:64">
      <c r="A709" s="46"/>
      <c r="B709" s="54" t="s">
        <v>71</v>
      </c>
      <c r="C709" s="54" t="s">
        <v>179</v>
      </c>
      <c r="D709" s="163" t="s">
        <v>229</v>
      </c>
      <c r="E709" s="164"/>
      <c r="F709" s="164"/>
      <c r="G709" s="61" t="s">
        <v>57</v>
      </c>
      <c r="H709" s="61" t="s">
        <v>57</v>
      </c>
      <c r="I709" s="61" t="s">
        <v>57</v>
      </c>
      <c r="J709" s="83">
        <f>SUM(J710:J714)</f>
        <v>2032.8</v>
      </c>
      <c r="K709" s="83">
        <f>SUM(K710:K714)</f>
        <v>2879.6</v>
      </c>
      <c r="L709" s="83">
        <f>SUM(L710:L714)</f>
        <v>4912.3999999999996</v>
      </c>
      <c r="M709" s="72"/>
      <c r="N709" s="19"/>
      <c r="AI709" s="77" t="s">
        <v>71</v>
      </c>
      <c r="AS709" s="83">
        <f>SUM(AJ710:AJ714)</f>
        <v>0</v>
      </c>
      <c r="AT709" s="83">
        <f>SUM(AK710:AK714)</f>
        <v>0</v>
      </c>
      <c r="AU709" s="83">
        <f>SUM(AL710:AL714)</f>
        <v>4912.3999999999996</v>
      </c>
    </row>
    <row r="710" spans="1:64">
      <c r="A710" s="47" t="s">
        <v>681</v>
      </c>
      <c r="B710" s="55" t="s">
        <v>71</v>
      </c>
      <c r="C710" s="55" t="s">
        <v>1092</v>
      </c>
      <c r="D710" s="165" t="s">
        <v>1595</v>
      </c>
      <c r="E710" s="166"/>
      <c r="F710" s="166"/>
      <c r="G710" s="55" t="s">
        <v>1631</v>
      </c>
      <c r="H710" s="64">
        <v>5</v>
      </c>
      <c r="I710" s="64">
        <v>101</v>
      </c>
      <c r="J710" s="64">
        <f>H710*AO710</f>
        <v>0</v>
      </c>
      <c r="K710" s="64">
        <f>H710*AP710</f>
        <v>505</v>
      </c>
      <c r="L710" s="64">
        <f>H710*I710</f>
        <v>505</v>
      </c>
      <c r="M710" s="73" t="s">
        <v>1657</v>
      </c>
      <c r="N710" s="19"/>
      <c r="Z710" s="35">
        <f>IF(AQ710="5",BJ710,0)</f>
        <v>0</v>
      </c>
      <c r="AB710" s="35">
        <f>IF(AQ710="1",BH710,0)</f>
        <v>0</v>
      </c>
      <c r="AC710" s="35">
        <f>IF(AQ710="1",BI710,0)</f>
        <v>505</v>
      </c>
      <c r="AD710" s="35">
        <f>IF(AQ710="7",BH710,0)</f>
        <v>0</v>
      </c>
      <c r="AE710" s="35">
        <f>IF(AQ710="7",BI710,0)</f>
        <v>0</v>
      </c>
      <c r="AF710" s="35">
        <f>IF(AQ710="2",BH710,0)</f>
        <v>0</v>
      </c>
      <c r="AG710" s="35">
        <f>IF(AQ710="2",BI710,0)</f>
        <v>0</v>
      </c>
      <c r="AH710" s="35">
        <f>IF(AQ710="0",BJ710,0)</f>
        <v>0</v>
      </c>
      <c r="AI710" s="77" t="s">
        <v>71</v>
      </c>
      <c r="AJ710" s="64">
        <f>IF(AN710=0,L710,0)</f>
        <v>0</v>
      </c>
      <c r="AK710" s="64">
        <f>IF(AN710=15,L710,0)</f>
        <v>0</v>
      </c>
      <c r="AL710" s="64">
        <f>IF(AN710=21,L710,0)</f>
        <v>505</v>
      </c>
      <c r="AN710" s="35">
        <v>21</v>
      </c>
      <c r="AO710" s="35">
        <f>I710*0</f>
        <v>0</v>
      </c>
      <c r="AP710" s="35">
        <f>I710*(1-0)</f>
        <v>101</v>
      </c>
      <c r="AQ710" s="78" t="s">
        <v>109</v>
      </c>
      <c r="AV710" s="35">
        <f>AW710+AX710</f>
        <v>505</v>
      </c>
      <c r="AW710" s="35">
        <f>H710*AO710</f>
        <v>0</v>
      </c>
      <c r="AX710" s="35">
        <f>H710*AP710</f>
        <v>505</v>
      </c>
      <c r="AY710" s="80" t="s">
        <v>1718</v>
      </c>
      <c r="AZ710" s="80" t="s">
        <v>1769</v>
      </c>
      <c r="BA710" s="77" t="s">
        <v>1784</v>
      </c>
      <c r="BC710" s="35">
        <f>AW710+AX710</f>
        <v>505</v>
      </c>
      <c r="BD710" s="35">
        <f>I710/(100-BE710)*100</f>
        <v>101</v>
      </c>
      <c r="BE710" s="35">
        <v>0</v>
      </c>
      <c r="BF710" s="35">
        <f>710</f>
        <v>710</v>
      </c>
      <c r="BH710" s="64">
        <f>H710*AO710</f>
        <v>0</v>
      </c>
      <c r="BI710" s="64">
        <f>H710*AP710</f>
        <v>505</v>
      </c>
      <c r="BJ710" s="64">
        <f>H710*I710</f>
        <v>505</v>
      </c>
      <c r="BK710" s="64" t="s">
        <v>1790</v>
      </c>
      <c r="BL710" s="35">
        <v>87</v>
      </c>
    </row>
    <row r="711" spans="1:64">
      <c r="A711" s="47" t="s">
        <v>682</v>
      </c>
      <c r="B711" s="55" t="s">
        <v>71</v>
      </c>
      <c r="C711" s="55" t="s">
        <v>1093</v>
      </c>
      <c r="D711" s="165" t="s">
        <v>1596</v>
      </c>
      <c r="E711" s="166"/>
      <c r="F711" s="166"/>
      <c r="G711" s="55" t="s">
        <v>1633</v>
      </c>
      <c r="H711" s="64">
        <v>11.2</v>
      </c>
      <c r="I711" s="64">
        <v>108</v>
      </c>
      <c r="J711" s="64">
        <f>H711*AO711</f>
        <v>0</v>
      </c>
      <c r="K711" s="64">
        <f>H711*AP711</f>
        <v>1209.5999999999999</v>
      </c>
      <c r="L711" s="64">
        <f>H711*I711</f>
        <v>1209.5999999999999</v>
      </c>
      <c r="M711" s="73" t="s">
        <v>1657</v>
      </c>
      <c r="N711" s="19"/>
      <c r="Z711" s="35">
        <f>IF(AQ711="5",BJ711,0)</f>
        <v>0</v>
      </c>
      <c r="AB711" s="35">
        <f>IF(AQ711="1",BH711,0)</f>
        <v>0</v>
      </c>
      <c r="AC711" s="35">
        <f>IF(AQ711="1",BI711,0)</f>
        <v>1209.5999999999999</v>
      </c>
      <c r="AD711" s="35">
        <f>IF(AQ711="7",BH711,0)</f>
        <v>0</v>
      </c>
      <c r="AE711" s="35">
        <f>IF(AQ711="7",BI711,0)</f>
        <v>0</v>
      </c>
      <c r="AF711" s="35">
        <f>IF(AQ711="2",BH711,0)</f>
        <v>0</v>
      </c>
      <c r="AG711" s="35">
        <f>IF(AQ711="2",BI711,0)</f>
        <v>0</v>
      </c>
      <c r="AH711" s="35">
        <f>IF(AQ711="0",BJ711,0)</f>
        <v>0</v>
      </c>
      <c r="AI711" s="77" t="s">
        <v>71</v>
      </c>
      <c r="AJ711" s="64">
        <f>IF(AN711=0,L711,0)</f>
        <v>0</v>
      </c>
      <c r="AK711" s="64">
        <f>IF(AN711=15,L711,0)</f>
        <v>0</v>
      </c>
      <c r="AL711" s="64">
        <f>IF(AN711=21,L711,0)</f>
        <v>1209.5999999999999</v>
      </c>
      <c r="AN711" s="35">
        <v>21</v>
      </c>
      <c r="AO711" s="35">
        <f>I711*0</f>
        <v>0</v>
      </c>
      <c r="AP711" s="35">
        <f>I711*(1-0)</f>
        <v>108</v>
      </c>
      <c r="AQ711" s="78" t="s">
        <v>109</v>
      </c>
      <c r="AV711" s="35">
        <f>AW711+AX711</f>
        <v>1209.5999999999999</v>
      </c>
      <c r="AW711" s="35">
        <f>H711*AO711</f>
        <v>0</v>
      </c>
      <c r="AX711" s="35">
        <f>H711*AP711</f>
        <v>1209.5999999999999</v>
      </c>
      <c r="AY711" s="80" t="s">
        <v>1718</v>
      </c>
      <c r="AZ711" s="80" t="s">
        <v>1769</v>
      </c>
      <c r="BA711" s="77" t="s">
        <v>1784</v>
      </c>
      <c r="BC711" s="35">
        <f>AW711+AX711</f>
        <v>1209.5999999999999</v>
      </c>
      <c r="BD711" s="35">
        <f>I711/(100-BE711)*100</f>
        <v>108</v>
      </c>
      <c r="BE711" s="35">
        <v>0</v>
      </c>
      <c r="BF711" s="35">
        <f>711</f>
        <v>711</v>
      </c>
      <c r="BH711" s="64">
        <f>H711*AO711</f>
        <v>0</v>
      </c>
      <c r="BI711" s="64">
        <f>H711*AP711</f>
        <v>1209.5999999999999</v>
      </c>
      <c r="BJ711" s="64">
        <f>H711*I711</f>
        <v>1209.5999999999999</v>
      </c>
      <c r="BK711" s="64" t="s">
        <v>1790</v>
      </c>
      <c r="BL711" s="35">
        <v>87</v>
      </c>
    </row>
    <row r="712" spans="1:64">
      <c r="A712" s="48" t="s">
        <v>683</v>
      </c>
      <c r="B712" s="56" t="s">
        <v>71</v>
      </c>
      <c r="C712" s="56" t="s">
        <v>1094</v>
      </c>
      <c r="D712" s="170" t="s">
        <v>1597</v>
      </c>
      <c r="E712" s="171"/>
      <c r="F712" s="171"/>
      <c r="G712" s="56" t="s">
        <v>1631</v>
      </c>
      <c r="H712" s="65">
        <v>5.6</v>
      </c>
      <c r="I712" s="65">
        <v>288</v>
      </c>
      <c r="J712" s="65">
        <f>H712*AO712</f>
        <v>1612.8</v>
      </c>
      <c r="K712" s="65">
        <f>H712*AP712</f>
        <v>0</v>
      </c>
      <c r="L712" s="65">
        <f>H712*I712</f>
        <v>1612.8</v>
      </c>
      <c r="M712" s="74" t="s">
        <v>1657</v>
      </c>
      <c r="N712" s="19"/>
      <c r="Z712" s="35">
        <f>IF(AQ712="5",BJ712,0)</f>
        <v>0</v>
      </c>
      <c r="AB712" s="35">
        <f>IF(AQ712="1",BH712,0)</f>
        <v>1612.8</v>
      </c>
      <c r="AC712" s="35">
        <f>IF(AQ712="1",BI712,0)</f>
        <v>0</v>
      </c>
      <c r="AD712" s="35">
        <f>IF(AQ712="7",BH712,0)</f>
        <v>0</v>
      </c>
      <c r="AE712" s="35">
        <f>IF(AQ712="7",BI712,0)</f>
        <v>0</v>
      </c>
      <c r="AF712" s="35">
        <f>IF(AQ712="2",BH712,0)</f>
        <v>0</v>
      </c>
      <c r="AG712" s="35">
        <f>IF(AQ712="2",BI712,0)</f>
        <v>0</v>
      </c>
      <c r="AH712" s="35">
        <f>IF(AQ712="0",BJ712,0)</f>
        <v>0</v>
      </c>
      <c r="AI712" s="77" t="s">
        <v>71</v>
      </c>
      <c r="AJ712" s="65">
        <f>IF(AN712=0,L712,0)</f>
        <v>0</v>
      </c>
      <c r="AK712" s="65">
        <f>IF(AN712=15,L712,0)</f>
        <v>0</v>
      </c>
      <c r="AL712" s="65">
        <f>IF(AN712=21,L712,0)</f>
        <v>1612.8</v>
      </c>
      <c r="AN712" s="35">
        <v>21</v>
      </c>
      <c r="AO712" s="35">
        <f>I712*1</f>
        <v>288</v>
      </c>
      <c r="AP712" s="35">
        <f>I712*(1-1)</f>
        <v>0</v>
      </c>
      <c r="AQ712" s="79" t="s">
        <v>109</v>
      </c>
      <c r="AV712" s="35">
        <f>AW712+AX712</f>
        <v>1612.8</v>
      </c>
      <c r="AW712" s="35">
        <f>H712*AO712</f>
        <v>1612.8</v>
      </c>
      <c r="AX712" s="35">
        <f>H712*AP712</f>
        <v>0</v>
      </c>
      <c r="AY712" s="80" t="s">
        <v>1718</v>
      </c>
      <c r="AZ712" s="80" t="s">
        <v>1769</v>
      </c>
      <c r="BA712" s="77" t="s">
        <v>1784</v>
      </c>
      <c r="BC712" s="35">
        <f>AW712+AX712</f>
        <v>1612.8</v>
      </c>
      <c r="BD712" s="35">
        <f>I712/(100-BE712)*100</f>
        <v>288</v>
      </c>
      <c r="BE712" s="35">
        <v>0</v>
      </c>
      <c r="BF712" s="35">
        <f>712</f>
        <v>712</v>
      </c>
      <c r="BH712" s="65">
        <f>H712*AO712</f>
        <v>1612.8</v>
      </c>
      <c r="BI712" s="65">
        <f>H712*AP712</f>
        <v>0</v>
      </c>
      <c r="BJ712" s="65">
        <f>H712*I712</f>
        <v>1612.8</v>
      </c>
      <c r="BK712" s="65" t="s">
        <v>1642</v>
      </c>
      <c r="BL712" s="35">
        <v>87</v>
      </c>
    </row>
    <row r="713" spans="1:64">
      <c r="A713" s="48" t="s">
        <v>684</v>
      </c>
      <c r="B713" s="56" t="s">
        <v>71</v>
      </c>
      <c r="C713" s="56" t="s">
        <v>1095</v>
      </c>
      <c r="D713" s="170" t="s">
        <v>1598</v>
      </c>
      <c r="E713" s="171"/>
      <c r="F713" s="171"/>
      <c r="G713" s="56" t="s">
        <v>1631</v>
      </c>
      <c r="H713" s="65">
        <v>5</v>
      </c>
      <c r="I713" s="65">
        <v>84</v>
      </c>
      <c r="J713" s="65">
        <f>H713*AO713</f>
        <v>420</v>
      </c>
      <c r="K713" s="65">
        <f>H713*AP713</f>
        <v>0</v>
      </c>
      <c r="L713" s="65">
        <f>H713*I713</f>
        <v>420</v>
      </c>
      <c r="M713" s="74" t="s">
        <v>1657</v>
      </c>
      <c r="N713" s="19"/>
      <c r="Z713" s="35">
        <f>IF(AQ713="5",BJ713,0)</f>
        <v>0</v>
      </c>
      <c r="AB713" s="35">
        <f>IF(AQ713="1",BH713,0)</f>
        <v>420</v>
      </c>
      <c r="AC713" s="35">
        <f>IF(AQ713="1",BI713,0)</f>
        <v>0</v>
      </c>
      <c r="AD713" s="35">
        <f>IF(AQ713="7",BH713,0)</f>
        <v>0</v>
      </c>
      <c r="AE713" s="35">
        <f>IF(AQ713="7",BI713,0)</f>
        <v>0</v>
      </c>
      <c r="AF713" s="35">
        <f>IF(AQ713="2",BH713,0)</f>
        <v>0</v>
      </c>
      <c r="AG713" s="35">
        <f>IF(AQ713="2",BI713,0)</f>
        <v>0</v>
      </c>
      <c r="AH713" s="35">
        <f>IF(AQ713="0",BJ713,0)</f>
        <v>0</v>
      </c>
      <c r="AI713" s="77" t="s">
        <v>71</v>
      </c>
      <c r="AJ713" s="65">
        <f>IF(AN713=0,L713,0)</f>
        <v>0</v>
      </c>
      <c r="AK713" s="65">
        <f>IF(AN713=15,L713,0)</f>
        <v>0</v>
      </c>
      <c r="AL713" s="65">
        <f>IF(AN713=21,L713,0)</f>
        <v>420</v>
      </c>
      <c r="AN713" s="35">
        <v>21</v>
      </c>
      <c r="AO713" s="35">
        <f>I713*1</f>
        <v>84</v>
      </c>
      <c r="AP713" s="35">
        <f>I713*(1-1)</f>
        <v>0</v>
      </c>
      <c r="AQ713" s="79" t="s">
        <v>109</v>
      </c>
      <c r="AV713" s="35">
        <f>AW713+AX713</f>
        <v>420</v>
      </c>
      <c r="AW713" s="35">
        <f>H713*AO713</f>
        <v>420</v>
      </c>
      <c r="AX713" s="35">
        <f>H713*AP713</f>
        <v>0</v>
      </c>
      <c r="AY713" s="80" t="s">
        <v>1718</v>
      </c>
      <c r="AZ713" s="80" t="s">
        <v>1769</v>
      </c>
      <c r="BA713" s="77" t="s">
        <v>1784</v>
      </c>
      <c r="BC713" s="35">
        <f>AW713+AX713</f>
        <v>420</v>
      </c>
      <c r="BD713" s="35">
        <f>I713/(100-BE713)*100</f>
        <v>84</v>
      </c>
      <c r="BE713" s="35">
        <v>0</v>
      </c>
      <c r="BF713" s="35">
        <f>713</f>
        <v>713</v>
      </c>
      <c r="BH713" s="65">
        <f>H713*AO713</f>
        <v>420</v>
      </c>
      <c r="BI713" s="65">
        <f>H713*AP713</f>
        <v>0</v>
      </c>
      <c r="BJ713" s="65">
        <f>H713*I713</f>
        <v>420</v>
      </c>
      <c r="BK713" s="65" t="s">
        <v>1642</v>
      </c>
      <c r="BL713" s="35">
        <v>87</v>
      </c>
    </row>
    <row r="714" spans="1:64">
      <c r="A714" s="47" t="s">
        <v>685</v>
      </c>
      <c r="B714" s="55" t="s">
        <v>71</v>
      </c>
      <c r="C714" s="55" t="s">
        <v>1096</v>
      </c>
      <c r="D714" s="165" t="s">
        <v>1599</v>
      </c>
      <c r="E714" s="166"/>
      <c r="F714" s="166"/>
      <c r="G714" s="55" t="s">
        <v>1631</v>
      </c>
      <c r="H714" s="64">
        <v>5</v>
      </c>
      <c r="I714" s="64">
        <v>233</v>
      </c>
      <c r="J714" s="64">
        <f>H714*AO714</f>
        <v>0</v>
      </c>
      <c r="K714" s="64">
        <f>H714*AP714</f>
        <v>1165</v>
      </c>
      <c r="L714" s="64">
        <f>H714*I714</f>
        <v>1165</v>
      </c>
      <c r="M714" s="73" t="s">
        <v>1657</v>
      </c>
      <c r="N714" s="19"/>
      <c r="Z714" s="35">
        <f>IF(AQ714="5",BJ714,0)</f>
        <v>0</v>
      </c>
      <c r="AB714" s="35">
        <f>IF(AQ714="1",BH714,0)</f>
        <v>0</v>
      </c>
      <c r="AC714" s="35">
        <f>IF(AQ714="1",BI714,0)</f>
        <v>1165</v>
      </c>
      <c r="AD714" s="35">
        <f>IF(AQ714="7",BH714,0)</f>
        <v>0</v>
      </c>
      <c r="AE714" s="35">
        <f>IF(AQ714="7",BI714,0)</f>
        <v>0</v>
      </c>
      <c r="AF714" s="35">
        <f>IF(AQ714="2",BH714,0)</f>
        <v>0</v>
      </c>
      <c r="AG714" s="35">
        <f>IF(AQ714="2",BI714,0)</f>
        <v>0</v>
      </c>
      <c r="AH714" s="35">
        <f>IF(AQ714="0",BJ714,0)</f>
        <v>0</v>
      </c>
      <c r="AI714" s="77" t="s">
        <v>71</v>
      </c>
      <c r="AJ714" s="64">
        <f>IF(AN714=0,L714,0)</f>
        <v>0</v>
      </c>
      <c r="AK714" s="64">
        <f>IF(AN714=15,L714,0)</f>
        <v>0</v>
      </c>
      <c r="AL714" s="64">
        <f>IF(AN714=21,L714,0)</f>
        <v>1165</v>
      </c>
      <c r="AN714" s="35">
        <v>21</v>
      </c>
      <c r="AO714" s="35">
        <f>I714*0</f>
        <v>0</v>
      </c>
      <c r="AP714" s="35">
        <f>I714*(1-0)</f>
        <v>233</v>
      </c>
      <c r="AQ714" s="78" t="s">
        <v>109</v>
      </c>
      <c r="AV714" s="35">
        <f>AW714+AX714</f>
        <v>1165</v>
      </c>
      <c r="AW714" s="35">
        <f>H714*AO714</f>
        <v>0</v>
      </c>
      <c r="AX714" s="35">
        <f>H714*AP714</f>
        <v>1165</v>
      </c>
      <c r="AY714" s="80" t="s">
        <v>1718</v>
      </c>
      <c r="AZ714" s="80" t="s">
        <v>1769</v>
      </c>
      <c r="BA714" s="77" t="s">
        <v>1784</v>
      </c>
      <c r="BC714" s="35">
        <f>AW714+AX714</f>
        <v>1165</v>
      </c>
      <c r="BD714" s="35">
        <f>I714/(100-BE714)*100</f>
        <v>233</v>
      </c>
      <c r="BE714" s="35">
        <v>0</v>
      </c>
      <c r="BF714" s="35">
        <f>714</f>
        <v>714</v>
      </c>
      <c r="BH714" s="64">
        <f>H714*AO714</f>
        <v>0</v>
      </c>
      <c r="BI714" s="64">
        <f>H714*AP714</f>
        <v>1165</v>
      </c>
      <c r="BJ714" s="64">
        <f>H714*I714</f>
        <v>1165</v>
      </c>
      <c r="BK714" s="64" t="s">
        <v>1790</v>
      </c>
      <c r="BL714" s="35">
        <v>87</v>
      </c>
    </row>
    <row r="715" spans="1:64">
      <c r="A715" s="46"/>
      <c r="B715" s="54" t="s">
        <v>71</v>
      </c>
      <c r="C715" s="54" t="s">
        <v>180</v>
      </c>
      <c r="D715" s="163" t="s">
        <v>230</v>
      </c>
      <c r="E715" s="164"/>
      <c r="F715" s="164"/>
      <c r="G715" s="61" t="s">
        <v>57</v>
      </c>
      <c r="H715" s="61" t="s">
        <v>57</v>
      </c>
      <c r="I715" s="61" t="s">
        <v>57</v>
      </c>
      <c r="J715" s="83">
        <f>SUM(J716:J725)</f>
        <v>75990</v>
      </c>
      <c r="K715" s="83">
        <f>SUM(K716:K725)</f>
        <v>15225</v>
      </c>
      <c r="L715" s="83">
        <f>SUM(L716:L725)</f>
        <v>91215</v>
      </c>
      <c r="M715" s="72"/>
      <c r="N715" s="19"/>
      <c r="AI715" s="77" t="s">
        <v>71</v>
      </c>
      <c r="AS715" s="83">
        <f>SUM(AJ716:AJ725)</f>
        <v>0</v>
      </c>
      <c r="AT715" s="83">
        <f>SUM(AK716:AK725)</f>
        <v>0</v>
      </c>
      <c r="AU715" s="83">
        <f>SUM(AL716:AL725)</f>
        <v>91215</v>
      </c>
    </row>
    <row r="716" spans="1:64">
      <c r="A716" s="47" t="s">
        <v>686</v>
      </c>
      <c r="B716" s="55" t="s">
        <v>71</v>
      </c>
      <c r="C716" s="55" t="s">
        <v>1097</v>
      </c>
      <c r="D716" s="165" t="s">
        <v>1600</v>
      </c>
      <c r="E716" s="166"/>
      <c r="F716" s="166"/>
      <c r="G716" s="55" t="s">
        <v>1631</v>
      </c>
      <c r="H716" s="64">
        <v>21</v>
      </c>
      <c r="I716" s="64">
        <v>612</v>
      </c>
      <c r="J716" s="64">
        <f t="shared" ref="J716:J725" si="468">H716*AO716</f>
        <v>0</v>
      </c>
      <c r="K716" s="64">
        <f t="shared" ref="K716:K725" si="469">H716*AP716</f>
        <v>12852</v>
      </c>
      <c r="L716" s="64">
        <f t="shared" ref="L716:L725" si="470">H716*I716</f>
        <v>12852</v>
      </c>
      <c r="M716" s="73" t="s">
        <v>1657</v>
      </c>
      <c r="N716" s="19"/>
      <c r="Z716" s="35">
        <f t="shared" ref="Z716:Z725" si="471">IF(AQ716="5",BJ716,0)</f>
        <v>0</v>
      </c>
      <c r="AB716" s="35">
        <f t="shared" ref="AB716:AB725" si="472">IF(AQ716="1",BH716,0)</f>
        <v>0</v>
      </c>
      <c r="AC716" s="35">
        <f t="shared" ref="AC716:AC725" si="473">IF(AQ716="1",BI716,0)</f>
        <v>12852</v>
      </c>
      <c r="AD716" s="35">
        <f t="shared" ref="AD716:AD725" si="474">IF(AQ716="7",BH716,0)</f>
        <v>0</v>
      </c>
      <c r="AE716" s="35">
        <f t="shared" ref="AE716:AE725" si="475">IF(AQ716="7",BI716,0)</f>
        <v>0</v>
      </c>
      <c r="AF716" s="35">
        <f t="shared" ref="AF716:AF725" si="476">IF(AQ716="2",BH716,0)</f>
        <v>0</v>
      </c>
      <c r="AG716" s="35">
        <f t="shared" ref="AG716:AG725" si="477">IF(AQ716="2",BI716,0)</f>
        <v>0</v>
      </c>
      <c r="AH716" s="35">
        <f t="shared" ref="AH716:AH725" si="478">IF(AQ716="0",BJ716,0)</f>
        <v>0</v>
      </c>
      <c r="AI716" s="77" t="s">
        <v>71</v>
      </c>
      <c r="AJ716" s="64">
        <f t="shared" ref="AJ716:AJ725" si="479">IF(AN716=0,L716,0)</f>
        <v>0</v>
      </c>
      <c r="AK716" s="64">
        <f t="shared" ref="AK716:AK725" si="480">IF(AN716=15,L716,0)</f>
        <v>0</v>
      </c>
      <c r="AL716" s="64">
        <f t="shared" ref="AL716:AL725" si="481">IF(AN716=21,L716,0)</f>
        <v>12852</v>
      </c>
      <c r="AN716" s="35">
        <v>21</v>
      </c>
      <c r="AO716" s="35">
        <f>I716*0</f>
        <v>0</v>
      </c>
      <c r="AP716" s="35">
        <f>I716*(1-0)</f>
        <v>612</v>
      </c>
      <c r="AQ716" s="78" t="s">
        <v>109</v>
      </c>
      <c r="AV716" s="35">
        <f t="shared" ref="AV716:AV725" si="482">AW716+AX716</f>
        <v>12852</v>
      </c>
      <c r="AW716" s="35">
        <f t="shared" ref="AW716:AW725" si="483">H716*AO716</f>
        <v>0</v>
      </c>
      <c r="AX716" s="35">
        <f t="shared" ref="AX716:AX725" si="484">H716*AP716</f>
        <v>12852</v>
      </c>
      <c r="AY716" s="80" t="s">
        <v>1719</v>
      </c>
      <c r="AZ716" s="80" t="s">
        <v>1769</v>
      </c>
      <c r="BA716" s="77" t="s">
        <v>1784</v>
      </c>
      <c r="BC716" s="35">
        <f t="shared" ref="BC716:BC725" si="485">AW716+AX716</f>
        <v>12852</v>
      </c>
      <c r="BD716" s="35">
        <f t="shared" ref="BD716:BD725" si="486">I716/(100-BE716)*100</f>
        <v>612</v>
      </c>
      <c r="BE716" s="35">
        <v>0</v>
      </c>
      <c r="BF716" s="35">
        <f>716</f>
        <v>716</v>
      </c>
      <c r="BH716" s="64">
        <f t="shared" ref="BH716:BH725" si="487">H716*AO716</f>
        <v>0</v>
      </c>
      <c r="BI716" s="64">
        <f t="shared" ref="BI716:BI725" si="488">H716*AP716</f>
        <v>12852</v>
      </c>
      <c r="BJ716" s="64">
        <f t="shared" ref="BJ716:BJ725" si="489">H716*I716</f>
        <v>12852</v>
      </c>
      <c r="BK716" s="64" t="s">
        <v>1790</v>
      </c>
      <c r="BL716" s="35">
        <v>89</v>
      </c>
    </row>
    <row r="717" spans="1:64">
      <c r="A717" s="48" t="s">
        <v>687</v>
      </c>
      <c r="B717" s="56" t="s">
        <v>71</v>
      </c>
      <c r="C717" s="56" t="s">
        <v>1098</v>
      </c>
      <c r="D717" s="170" t="s">
        <v>1601</v>
      </c>
      <c r="E717" s="171"/>
      <c r="F717" s="171"/>
      <c r="G717" s="56" t="s">
        <v>1631</v>
      </c>
      <c r="H717" s="65">
        <v>5</v>
      </c>
      <c r="I717" s="65">
        <v>900</v>
      </c>
      <c r="J717" s="65">
        <f t="shared" si="468"/>
        <v>4500</v>
      </c>
      <c r="K717" s="65">
        <f t="shared" si="469"/>
        <v>0</v>
      </c>
      <c r="L717" s="65">
        <f t="shared" si="470"/>
        <v>4500</v>
      </c>
      <c r="M717" s="74" t="s">
        <v>1657</v>
      </c>
      <c r="N717" s="19"/>
      <c r="Z717" s="35">
        <f t="shared" si="471"/>
        <v>0</v>
      </c>
      <c r="AB717" s="35">
        <f t="shared" si="472"/>
        <v>4500</v>
      </c>
      <c r="AC717" s="35">
        <f t="shared" si="473"/>
        <v>0</v>
      </c>
      <c r="AD717" s="35">
        <f t="shared" si="474"/>
        <v>0</v>
      </c>
      <c r="AE717" s="35">
        <f t="shared" si="475"/>
        <v>0</v>
      </c>
      <c r="AF717" s="35">
        <f t="shared" si="476"/>
        <v>0</v>
      </c>
      <c r="AG717" s="35">
        <f t="shared" si="477"/>
        <v>0</v>
      </c>
      <c r="AH717" s="35">
        <f t="shared" si="478"/>
        <v>0</v>
      </c>
      <c r="AI717" s="77" t="s">
        <v>71</v>
      </c>
      <c r="AJ717" s="65">
        <f t="shared" si="479"/>
        <v>0</v>
      </c>
      <c r="AK717" s="65">
        <f t="shared" si="480"/>
        <v>0</v>
      </c>
      <c r="AL717" s="65">
        <f t="shared" si="481"/>
        <v>4500</v>
      </c>
      <c r="AN717" s="35">
        <v>21</v>
      </c>
      <c r="AO717" s="35">
        <f t="shared" ref="AO717:AO722" si="490">I717*1</f>
        <v>900</v>
      </c>
      <c r="AP717" s="35">
        <f t="shared" ref="AP717:AP722" si="491">I717*(1-1)</f>
        <v>0</v>
      </c>
      <c r="AQ717" s="79" t="s">
        <v>109</v>
      </c>
      <c r="AV717" s="35">
        <f t="shared" si="482"/>
        <v>4500</v>
      </c>
      <c r="AW717" s="35">
        <f t="shared" si="483"/>
        <v>4500</v>
      </c>
      <c r="AX717" s="35">
        <f t="shared" si="484"/>
        <v>0</v>
      </c>
      <c r="AY717" s="80" t="s">
        <v>1719</v>
      </c>
      <c r="AZ717" s="80" t="s">
        <v>1769</v>
      </c>
      <c r="BA717" s="77" t="s">
        <v>1784</v>
      </c>
      <c r="BC717" s="35">
        <f t="shared" si="485"/>
        <v>4500</v>
      </c>
      <c r="BD717" s="35">
        <f t="shared" si="486"/>
        <v>900</v>
      </c>
      <c r="BE717" s="35">
        <v>0</v>
      </c>
      <c r="BF717" s="35">
        <f>717</f>
        <v>717</v>
      </c>
      <c r="BH717" s="65">
        <f t="shared" si="487"/>
        <v>4500</v>
      </c>
      <c r="BI717" s="65">
        <f t="shared" si="488"/>
        <v>0</v>
      </c>
      <c r="BJ717" s="65">
        <f t="shared" si="489"/>
        <v>4500</v>
      </c>
      <c r="BK717" s="65" t="s">
        <v>1642</v>
      </c>
      <c r="BL717" s="35">
        <v>89</v>
      </c>
    </row>
    <row r="718" spans="1:64">
      <c r="A718" s="48" t="s">
        <v>688</v>
      </c>
      <c r="B718" s="56" t="s">
        <v>71</v>
      </c>
      <c r="C718" s="56" t="s">
        <v>1098</v>
      </c>
      <c r="D718" s="170" t="s">
        <v>1602</v>
      </c>
      <c r="E718" s="171"/>
      <c r="F718" s="171"/>
      <c r="G718" s="56" t="s">
        <v>1631</v>
      </c>
      <c r="H718" s="65">
        <v>16</v>
      </c>
      <c r="I718" s="65">
        <v>900</v>
      </c>
      <c r="J718" s="65">
        <f t="shared" si="468"/>
        <v>14400</v>
      </c>
      <c r="K718" s="65">
        <f t="shared" si="469"/>
        <v>0</v>
      </c>
      <c r="L718" s="65">
        <f t="shared" si="470"/>
        <v>14400</v>
      </c>
      <c r="M718" s="74" t="s">
        <v>1657</v>
      </c>
      <c r="N718" s="19"/>
      <c r="Z718" s="35">
        <f t="shared" si="471"/>
        <v>0</v>
      </c>
      <c r="AB718" s="35">
        <f t="shared" si="472"/>
        <v>14400</v>
      </c>
      <c r="AC718" s="35">
        <f t="shared" si="473"/>
        <v>0</v>
      </c>
      <c r="AD718" s="35">
        <f t="shared" si="474"/>
        <v>0</v>
      </c>
      <c r="AE718" s="35">
        <f t="shared" si="475"/>
        <v>0</v>
      </c>
      <c r="AF718" s="35">
        <f t="shared" si="476"/>
        <v>0</v>
      </c>
      <c r="AG718" s="35">
        <f t="shared" si="477"/>
        <v>0</v>
      </c>
      <c r="AH718" s="35">
        <f t="shared" si="478"/>
        <v>0</v>
      </c>
      <c r="AI718" s="77" t="s">
        <v>71</v>
      </c>
      <c r="AJ718" s="65">
        <f t="shared" si="479"/>
        <v>0</v>
      </c>
      <c r="AK718" s="65">
        <f t="shared" si="480"/>
        <v>0</v>
      </c>
      <c r="AL718" s="65">
        <f t="shared" si="481"/>
        <v>14400</v>
      </c>
      <c r="AN718" s="35">
        <v>21</v>
      </c>
      <c r="AO718" s="35">
        <f t="shared" si="490"/>
        <v>900</v>
      </c>
      <c r="AP718" s="35">
        <f t="shared" si="491"/>
        <v>0</v>
      </c>
      <c r="AQ718" s="79" t="s">
        <v>109</v>
      </c>
      <c r="AV718" s="35">
        <f t="shared" si="482"/>
        <v>14400</v>
      </c>
      <c r="AW718" s="35">
        <f t="shared" si="483"/>
        <v>14400</v>
      </c>
      <c r="AX718" s="35">
        <f t="shared" si="484"/>
        <v>0</v>
      </c>
      <c r="AY718" s="80" t="s">
        <v>1719</v>
      </c>
      <c r="AZ718" s="80" t="s">
        <v>1769</v>
      </c>
      <c r="BA718" s="77" t="s">
        <v>1784</v>
      </c>
      <c r="BC718" s="35">
        <f t="shared" si="485"/>
        <v>14400</v>
      </c>
      <c r="BD718" s="35">
        <f t="shared" si="486"/>
        <v>900</v>
      </c>
      <c r="BE718" s="35">
        <v>0</v>
      </c>
      <c r="BF718" s="35">
        <f>718</f>
        <v>718</v>
      </c>
      <c r="BH718" s="65">
        <f t="shared" si="487"/>
        <v>14400</v>
      </c>
      <c r="BI718" s="65">
        <f t="shared" si="488"/>
        <v>0</v>
      </c>
      <c r="BJ718" s="65">
        <f t="shared" si="489"/>
        <v>14400</v>
      </c>
      <c r="BK718" s="65" t="s">
        <v>1642</v>
      </c>
      <c r="BL718" s="35">
        <v>89</v>
      </c>
    </row>
    <row r="719" spans="1:64">
      <c r="A719" s="48" t="s">
        <v>689</v>
      </c>
      <c r="B719" s="56" t="s">
        <v>71</v>
      </c>
      <c r="C719" s="56" t="s">
        <v>1099</v>
      </c>
      <c r="D719" s="170" t="s">
        <v>1603</v>
      </c>
      <c r="E719" s="171"/>
      <c r="F719" s="171"/>
      <c r="G719" s="56" t="s">
        <v>1631</v>
      </c>
      <c r="H719" s="65">
        <v>6</v>
      </c>
      <c r="I719" s="65">
        <v>631</v>
      </c>
      <c r="J719" s="65">
        <f t="shared" si="468"/>
        <v>3786</v>
      </c>
      <c r="K719" s="65">
        <f t="shared" si="469"/>
        <v>0</v>
      </c>
      <c r="L719" s="65">
        <f t="shared" si="470"/>
        <v>3786</v>
      </c>
      <c r="M719" s="74" t="s">
        <v>1657</v>
      </c>
      <c r="N719" s="19"/>
      <c r="Z719" s="35">
        <f t="shared" si="471"/>
        <v>0</v>
      </c>
      <c r="AB719" s="35">
        <f t="shared" si="472"/>
        <v>3786</v>
      </c>
      <c r="AC719" s="35">
        <f t="shared" si="473"/>
        <v>0</v>
      </c>
      <c r="AD719" s="35">
        <f t="shared" si="474"/>
        <v>0</v>
      </c>
      <c r="AE719" s="35">
        <f t="shared" si="475"/>
        <v>0</v>
      </c>
      <c r="AF719" s="35">
        <f t="shared" si="476"/>
        <v>0</v>
      </c>
      <c r="AG719" s="35">
        <f t="shared" si="477"/>
        <v>0</v>
      </c>
      <c r="AH719" s="35">
        <f t="shared" si="478"/>
        <v>0</v>
      </c>
      <c r="AI719" s="77" t="s">
        <v>71</v>
      </c>
      <c r="AJ719" s="65">
        <f t="shared" si="479"/>
        <v>0</v>
      </c>
      <c r="AK719" s="65">
        <f t="shared" si="480"/>
        <v>0</v>
      </c>
      <c r="AL719" s="65">
        <f t="shared" si="481"/>
        <v>3786</v>
      </c>
      <c r="AN719" s="35">
        <v>21</v>
      </c>
      <c r="AO719" s="35">
        <f t="shared" si="490"/>
        <v>631</v>
      </c>
      <c r="AP719" s="35">
        <f t="shared" si="491"/>
        <v>0</v>
      </c>
      <c r="AQ719" s="79" t="s">
        <v>109</v>
      </c>
      <c r="AV719" s="35">
        <f t="shared" si="482"/>
        <v>3786</v>
      </c>
      <c r="AW719" s="35">
        <f t="shared" si="483"/>
        <v>3786</v>
      </c>
      <c r="AX719" s="35">
        <f t="shared" si="484"/>
        <v>0</v>
      </c>
      <c r="AY719" s="80" t="s">
        <v>1719</v>
      </c>
      <c r="AZ719" s="80" t="s">
        <v>1769</v>
      </c>
      <c r="BA719" s="77" t="s">
        <v>1784</v>
      </c>
      <c r="BC719" s="35">
        <f t="shared" si="485"/>
        <v>3786</v>
      </c>
      <c r="BD719" s="35">
        <f t="shared" si="486"/>
        <v>631</v>
      </c>
      <c r="BE719" s="35">
        <v>0</v>
      </c>
      <c r="BF719" s="35">
        <f>719</f>
        <v>719</v>
      </c>
      <c r="BH719" s="65">
        <f t="shared" si="487"/>
        <v>3786</v>
      </c>
      <c r="BI719" s="65">
        <f t="shared" si="488"/>
        <v>0</v>
      </c>
      <c r="BJ719" s="65">
        <f t="shared" si="489"/>
        <v>3786</v>
      </c>
      <c r="BK719" s="65" t="s">
        <v>1642</v>
      </c>
      <c r="BL719" s="35">
        <v>89</v>
      </c>
    </row>
    <row r="720" spans="1:64">
      <c r="A720" s="48" t="s">
        <v>690</v>
      </c>
      <c r="B720" s="56" t="s">
        <v>71</v>
      </c>
      <c r="C720" s="56" t="s">
        <v>1100</v>
      </c>
      <c r="D720" s="170" t="s">
        <v>1604</v>
      </c>
      <c r="E720" s="171"/>
      <c r="F720" s="171"/>
      <c r="G720" s="56" t="s">
        <v>1631</v>
      </c>
      <c r="H720" s="65">
        <v>21</v>
      </c>
      <c r="I720" s="65">
        <v>396</v>
      </c>
      <c r="J720" s="65">
        <f t="shared" si="468"/>
        <v>8316</v>
      </c>
      <c r="K720" s="65">
        <f t="shared" si="469"/>
        <v>0</v>
      </c>
      <c r="L720" s="65">
        <f t="shared" si="470"/>
        <v>8316</v>
      </c>
      <c r="M720" s="74" t="s">
        <v>1657</v>
      </c>
      <c r="N720" s="19"/>
      <c r="Z720" s="35">
        <f t="shared" si="471"/>
        <v>0</v>
      </c>
      <c r="AB720" s="35">
        <f t="shared" si="472"/>
        <v>8316</v>
      </c>
      <c r="AC720" s="35">
        <f t="shared" si="473"/>
        <v>0</v>
      </c>
      <c r="AD720" s="35">
        <f t="shared" si="474"/>
        <v>0</v>
      </c>
      <c r="AE720" s="35">
        <f t="shared" si="475"/>
        <v>0</v>
      </c>
      <c r="AF720" s="35">
        <f t="shared" si="476"/>
        <v>0</v>
      </c>
      <c r="AG720" s="35">
        <f t="shared" si="477"/>
        <v>0</v>
      </c>
      <c r="AH720" s="35">
        <f t="shared" si="478"/>
        <v>0</v>
      </c>
      <c r="AI720" s="77" t="s">
        <v>71</v>
      </c>
      <c r="AJ720" s="65">
        <f t="shared" si="479"/>
        <v>0</v>
      </c>
      <c r="AK720" s="65">
        <f t="shared" si="480"/>
        <v>0</v>
      </c>
      <c r="AL720" s="65">
        <f t="shared" si="481"/>
        <v>8316</v>
      </c>
      <c r="AN720" s="35">
        <v>21</v>
      </c>
      <c r="AO720" s="35">
        <f t="shared" si="490"/>
        <v>396</v>
      </c>
      <c r="AP720" s="35">
        <f t="shared" si="491"/>
        <v>0</v>
      </c>
      <c r="AQ720" s="79" t="s">
        <v>109</v>
      </c>
      <c r="AV720" s="35">
        <f t="shared" si="482"/>
        <v>8316</v>
      </c>
      <c r="AW720" s="35">
        <f t="shared" si="483"/>
        <v>8316</v>
      </c>
      <c r="AX720" s="35">
        <f t="shared" si="484"/>
        <v>0</v>
      </c>
      <c r="AY720" s="80" t="s">
        <v>1719</v>
      </c>
      <c r="AZ720" s="80" t="s">
        <v>1769</v>
      </c>
      <c r="BA720" s="77" t="s">
        <v>1784</v>
      </c>
      <c r="BC720" s="35">
        <f t="shared" si="485"/>
        <v>8316</v>
      </c>
      <c r="BD720" s="35">
        <f t="shared" si="486"/>
        <v>396</v>
      </c>
      <c r="BE720" s="35">
        <v>0</v>
      </c>
      <c r="BF720" s="35">
        <f>720</f>
        <v>720</v>
      </c>
      <c r="BH720" s="65">
        <f t="shared" si="487"/>
        <v>8316</v>
      </c>
      <c r="BI720" s="65">
        <f t="shared" si="488"/>
        <v>0</v>
      </c>
      <c r="BJ720" s="65">
        <f t="shared" si="489"/>
        <v>8316</v>
      </c>
      <c r="BK720" s="65" t="s">
        <v>1642</v>
      </c>
      <c r="BL720" s="35">
        <v>89</v>
      </c>
    </row>
    <row r="721" spans="1:64">
      <c r="A721" s="48" t="s">
        <v>691</v>
      </c>
      <c r="B721" s="56" t="s">
        <v>71</v>
      </c>
      <c r="C721" s="56" t="s">
        <v>1101</v>
      </c>
      <c r="D721" s="170" t="s">
        <v>1605</v>
      </c>
      <c r="E721" s="171"/>
      <c r="F721" s="171"/>
      <c r="G721" s="56" t="s">
        <v>1631</v>
      </c>
      <c r="H721" s="65">
        <v>45</v>
      </c>
      <c r="I721" s="65">
        <v>122</v>
      </c>
      <c r="J721" s="65">
        <f t="shared" si="468"/>
        <v>5490</v>
      </c>
      <c r="K721" s="65">
        <f t="shared" si="469"/>
        <v>0</v>
      </c>
      <c r="L721" s="65">
        <f t="shared" si="470"/>
        <v>5490</v>
      </c>
      <c r="M721" s="74" t="s">
        <v>1657</v>
      </c>
      <c r="N721" s="19"/>
      <c r="Z721" s="35">
        <f t="shared" si="471"/>
        <v>0</v>
      </c>
      <c r="AB721" s="35">
        <f t="shared" si="472"/>
        <v>5490</v>
      </c>
      <c r="AC721" s="35">
        <f t="shared" si="473"/>
        <v>0</v>
      </c>
      <c r="AD721" s="35">
        <f t="shared" si="474"/>
        <v>0</v>
      </c>
      <c r="AE721" s="35">
        <f t="shared" si="475"/>
        <v>0</v>
      </c>
      <c r="AF721" s="35">
        <f t="shared" si="476"/>
        <v>0</v>
      </c>
      <c r="AG721" s="35">
        <f t="shared" si="477"/>
        <v>0</v>
      </c>
      <c r="AH721" s="35">
        <f t="shared" si="478"/>
        <v>0</v>
      </c>
      <c r="AI721" s="77" t="s">
        <v>71</v>
      </c>
      <c r="AJ721" s="65">
        <f t="shared" si="479"/>
        <v>0</v>
      </c>
      <c r="AK721" s="65">
        <f t="shared" si="480"/>
        <v>0</v>
      </c>
      <c r="AL721" s="65">
        <f t="shared" si="481"/>
        <v>5490</v>
      </c>
      <c r="AN721" s="35">
        <v>21</v>
      </c>
      <c r="AO721" s="35">
        <f t="shared" si="490"/>
        <v>122</v>
      </c>
      <c r="AP721" s="35">
        <f t="shared" si="491"/>
        <v>0</v>
      </c>
      <c r="AQ721" s="79" t="s">
        <v>109</v>
      </c>
      <c r="AV721" s="35">
        <f t="shared" si="482"/>
        <v>5490</v>
      </c>
      <c r="AW721" s="35">
        <f t="shared" si="483"/>
        <v>5490</v>
      </c>
      <c r="AX721" s="35">
        <f t="shared" si="484"/>
        <v>0</v>
      </c>
      <c r="AY721" s="80" t="s">
        <v>1719</v>
      </c>
      <c r="AZ721" s="80" t="s">
        <v>1769</v>
      </c>
      <c r="BA721" s="77" t="s">
        <v>1784</v>
      </c>
      <c r="BC721" s="35">
        <f t="shared" si="485"/>
        <v>5490</v>
      </c>
      <c r="BD721" s="35">
        <f t="shared" si="486"/>
        <v>122</v>
      </c>
      <c r="BE721" s="35">
        <v>0</v>
      </c>
      <c r="BF721" s="35">
        <f>721</f>
        <v>721</v>
      </c>
      <c r="BH721" s="65">
        <f t="shared" si="487"/>
        <v>5490</v>
      </c>
      <c r="BI721" s="65">
        <f t="shared" si="488"/>
        <v>0</v>
      </c>
      <c r="BJ721" s="65">
        <f t="shared" si="489"/>
        <v>5490</v>
      </c>
      <c r="BK721" s="65" t="s">
        <v>1642</v>
      </c>
      <c r="BL721" s="35">
        <v>89</v>
      </c>
    </row>
    <row r="722" spans="1:64">
      <c r="A722" s="48" t="s">
        <v>692</v>
      </c>
      <c r="B722" s="56" t="s">
        <v>71</v>
      </c>
      <c r="C722" s="56" t="s">
        <v>1102</v>
      </c>
      <c r="D722" s="170" t="s">
        <v>1606</v>
      </c>
      <c r="E722" s="171"/>
      <c r="F722" s="171"/>
      <c r="G722" s="56" t="s">
        <v>1631</v>
      </c>
      <c r="H722" s="65">
        <v>18</v>
      </c>
      <c r="I722" s="65">
        <v>71</v>
      </c>
      <c r="J722" s="65">
        <f t="shared" si="468"/>
        <v>1278</v>
      </c>
      <c r="K722" s="65">
        <f t="shared" si="469"/>
        <v>0</v>
      </c>
      <c r="L722" s="65">
        <f t="shared" si="470"/>
        <v>1278</v>
      </c>
      <c r="M722" s="74" t="s">
        <v>1657</v>
      </c>
      <c r="N722" s="19"/>
      <c r="Z722" s="35">
        <f t="shared" si="471"/>
        <v>0</v>
      </c>
      <c r="AB722" s="35">
        <f t="shared" si="472"/>
        <v>1278</v>
      </c>
      <c r="AC722" s="35">
        <f t="shared" si="473"/>
        <v>0</v>
      </c>
      <c r="AD722" s="35">
        <f t="shared" si="474"/>
        <v>0</v>
      </c>
      <c r="AE722" s="35">
        <f t="shared" si="475"/>
        <v>0</v>
      </c>
      <c r="AF722" s="35">
        <f t="shared" si="476"/>
        <v>0</v>
      </c>
      <c r="AG722" s="35">
        <f t="shared" si="477"/>
        <v>0</v>
      </c>
      <c r="AH722" s="35">
        <f t="shared" si="478"/>
        <v>0</v>
      </c>
      <c r="AI722" s="77" t="s">
        <v>71</v>
      </c>
      <c r="AJ722" s="65">
        <f t="shared" si="479"/>
        <v>0</v>
      </c>
      <c r="AK722" s="65">
        <f t="shared" si="480"/>
        <v>0</v>
      </c>
      <c r="AL722" s="65">
        <f t="shared" si="481"/>
        <v>1278</v>
      </c>
      <c r="AN722" s="35">
        <v>21</v>
      </c>
      <c r="AO722" s="35">
        <f t="shared" si="490"/>
        <v>71</v>
      </c>
      <c r="AP722" s="35">
        <f t="shared" si="491"/>
        <v>0</v>
      </c>
      <c r="AQ722" s="79" t="s">
        <v>109</v>
      </c>
      <c r="AV722" s="35">
        <f t="shared" si="482"/>
        <v>1278</v>
      </c>
      <c r="AW722" s="35">
        <f t="shared" si="483"/>
        <v>1278</v>
      </c>
      <c r="AX722" s="35">
        <f t="shared" si="484"/>
        <v>0</v>
      </c>
      <c r="AY722" s="80" t="s">
        <v>1719</v>
      </c>
      <c r="AZ722" s="80" t="s">
        <v>1769</v>
      </c>
      <c r="BA722" s="77" t="s">
        <v>1784</v>
      </c>
      <c r="BC722" s="35">
        <f t="shared" si="485"/>
        <v>1278</v>
      </c>
      <c r="BD722" s="35">
        <f t="shared" si="486"/>
        <v>71</v>
      </c>
      <c r="BE722" s="35">
        <v>0</v>
      </c>
      <c r="BF722" s="35">
        <f>722</f>
        <v>722</v>
      </c>
      <c r="BH722" s="65">
        <f t="shared" si="487"/>
        <v>1278</v>
      </c>
      <c r="BI722" s="65">
        <f t="shared" si="488"/>
        <v>0</v>
      </c>
      <c r="BJ722" s="65">
        <f t="shared" si="489"/>
        <v>1278</v>
      </c>
      <c r="BK722" s="65" t="s">
        <v>1642</v>
      </c>
      <c r="BL722" s="35">
        <v>89</v>
      </c>
    </row>
    <row r="723" spans="1:64">
      <c r="A723" s="47" t="s">
        <v>693</v>
      </c>
      <c r="B723" s="55" t="s">
        <v>71</v>
      </c>
      <c r="C723" s="55" t="s">
        <v>1103</v>
      </c>
      <c r="D723" s="165" t="s">
        <v>1607</v>
      </c>
      <c r="E723" s="166"/>
      <c r="F723" s="166"/>
      <c r="G723" s="55" t="s">
        <v>1631</v>
      </c>
      <c r="H723" s="64">
        <v>21</v>
      </c>
      <c r="I723" s="64">
        <v>113</v>
      </c>
      <c r="J723" s="64">
        <f t="shared" si="468"/>
        <v>0</v>
      </c>
      <c r="K723" s="64">
        <f t="shared" si="469"/>
        <v>2373</v>
      </c>
      <c r="L723" s="64">
        <f t="shared" si="470"/>
        <v>2373</v>
      </c>
      <c r="M723" s="73" t="s">
        <v>1657</v>
      </c>
      <c r="N723" s="19"/>
      <c r="Z723" s="35">
        <f t="shared" si="471"/>
        <v>0</v>
      </c>
      <c r="AB723" s="35">
        <f t="shared" si="472"/>
        <v>0</v>
      </c>
      <c r="AC723" s="35">
        <f t="shared" si="473"/>
        <v>2373</v>
      </c>
      <c r="AD723" s="35">
        <f t="shared" si="474"/>
        <v>0</v>
      </c>
      <c r="AE723" s="35">
        <f t="shared" si="475"/>
        <v>0</v>
      </c>
      <c r="AF723" s="35">
        <f t="shared" si="476"/>
        <v>0</v>
      </c>
      <c r="AG723" s="35">
        <f t="shared" si="477"/>
        <v>0</v>
      </c>
      <c r="AH723" s="35">
        <f t="shared" si="478"/>
        <v>0</v>
      </c>
      <c r="AI723" s="77" t="s">
        <v>71</v>
      </c>
      <c r="AJ723" s="64">
        <f t="shared" si="479"/>
        <v>0</v>
      </c>
      <c r="AK723" s="64">
        <f t="shared" si="480"/>
        <v>0</v>
      </c>
      <c r="AL723" s="64">
        <f t="shared" si="481"/>
        <v>2373</v>
      </c>
      <c r="AN723" s="35">
        <v>21</v>
      </c>
      <c r="AO723" s="35">
        <f>I723*0</f>
        <v>0</v>
      </c>
      <c r="AP723" s="35">
        <f>I723*(1-0)</f>
        <v>113</v>
      </c>
      <c r="AQ723" s="78" t="s">
        <v>109</v>
      </c>
      <c r="AV723" s="35">
        <f t="shared" si="482"/>
        <v>2373</v>
      </c>
      <c r="AW723" s="35">
        <f t="shared" si="483"/>
        <v>0</v>
      </c>
      <c r="AX723" s="35">
        <f t="shared" si="484"/>
        <v>2373</v>
      </c>
      <c r="AY723" s="80" t="s">
        <v>1719</v>
      </c>
      <c r="AZ723" s="80" t="s">
        <v>1769</v>
      </c>
      <c r="BA723" s="77" t="s">
        <v>1784</v>
      </c>
      <c r="BC723" s="35">
        <f t="shared" si="485"/>
        <v>2373</v>
      </c>
      <c r="BD723" s="35">
        <f t="shared" si="486"/>
        <v>112.99999999999999</v>
      </c>
      <c r="BE723" s="35">
        <v>0</v>
      </c>
      <c r="BF723" s="35">
        <f>723</f>
        <v>723</v>
      </c>
      <c r="BH723" s="64">
        <f t="shared" si="487"/>
        <v>0</v>
      </c>
      <c r="BI723" s="64">
        <f t="shared" si="488"/>
        <v>2373</v>
      </c>
      <c r="BJ723" s="64">
        <f t="shared" si="489"/>
        <v>2373</v>
      </c>
      <c r="BK723" s="64" t="s">
        <v>1790</v>
      </c>
      <c r="BL723" s="35">
        <v>89</v>
      </c>
    </row>
    <row r="724" spans="1:64">
      <c r="A724" s="48" t="s">
        <v>694</v>
      </c>
      <c r="B724" s="56" t="s">
        <v>71</v>
      </c>
      <c r="C724" s="56" t="s">
        <v>1104</v>
      </c>
      <c r="D724" s="170" t="s">
        <v>1608</v>
      </c>
      <c r="E724" s="171"/>
      <c r="F724" s="171"/>
      <c r="G724" s="56" t="s">
        <v>1631</v>
      </c>
      <c r="H724" s="65">
        <v>21</v>
      </c>
      <c r="I724" s="65">
        <v>488</v>
      </c>
      <c r="J724" s="65">
        <f t="shared" si="468"/>
        <v>10248</v>
      </c>
      <c r="K724" s="65">
        <f t="shared" si="469"/>
        <v>0</v>
      </c>
      <c r="L724" s="65">
        <f t="shared" si="470"/>
        <v>10248</v>
      </c>
      <c r="M724" s="74" t="s">
        <v>1657</v>
      </c>
      <c r="N724" s="19"/>
      <c r="Z724" s="35">
        <f t="shared" si="471"/>
        <v>0</v>
      </c>
      <c r="AB724" s="35">
        <f t="shared" si="472"/>
        <v>10248</v>
      </c>
      <c r="AC724" s="35">
        <f t="shared" si="473"/>
        <v>0</v>
      </c>
      <c r="AD724" s="35">
        <f t="shared" si="474"/>
        <v>0</v>
      </c>
      <c r="AE724" s="35">
        <f t="shared" si="475"/>
        <v>0</v>
      </c>
      <c r="AF724" s="35">
        <f t="shared" si="476"/>
        <v>0</v>
      </c>
      <c r="AG724" s="35">
        <f t="shared" si="477"/>
        <v>0</v>
      </c>
      <c r="AH724" s="35">
        <f t="shared" si="478"/>
        <v>0</v>
      </c>
      <c r="AI724" s="77" t="s">
        <v>71</v>
      </c>
      <c r="AJ724" s="65">
        <f t="shared" si="479"/>
        <v>0</v>
      </c>
      <c r="AK724" s="65">
        <f t="shared" si="480"/>
        <v>0</v>
      </c>
      <c r="AL724" s="65">
        <f t="shared" si="481"/>
        <v>10248</v>
      </c>
      <c r="AN724" s="35">
        <v>21</v>
      </c>
      <c r="AO724" s="35">
        <f>I724*1</f>
        <v>488</v>
      </c>
      <c r="AP724" s="35">
        <f>I724*(1-1)</f>
        <v>0</v>
      </c>
      <c r="AQ724" s="79" t="s">
        <v>109</v>
      </c>
      <c r="AV724" s="35">
        <f t="shared" si="482"/>
        <v>10248</v>
      </c>
      <c r="AW724" s="35">
        <f t="shared" si="483"/>
        <v>10248</v>
      </c>
      <c r="AX724" s="35">
        <f t="shared" si="484"/>
        <v>0</v>
      </c>
      <c r="AY724" s="80" t="s">
        <v>1719</v>
      </c>
      <c r="AZ724" s="80" t="s">
        <v>1769</v>
      </c>
      <c r="BA724" s="77" t="s">
        <v>1784</v>
      </c>
      <c r="BC724" s="35">
        <f t="shared" si="485"/>
        <v>10248</v>
      </c>
      <c r="BD724" s="35">
        <f t="shared" si="486"/>
        <v>488</v>
      </c>
      <c r="BE724" s="35">
        <v>0</v>
      </c>
      <c r="BF724" s="35">
        <f>724</f>
        <v>724</v>
      </c>
      <c r="BH724" s="65">
        <f t="shared" si="487"/>
        <v>10248</v>
      </c>
      <c r="BI724" s="65">
        <f t="shared" si="488"/>
        <v>0</v>
      </c>
      <c r="BJ724" s="65">
        <f t="shared" si="489"/>
        <v>10248</v>
      </c>
      <c r="BK724" s="65" t="s">
        <v>1642</v>
      </c>
      <c r="BL724" s="35">
        <v>89</v>
      </c>
    </row>
    <row r="725" spans="1:64">
      <c r="A725" s="48" t="s">
        <v>695</v>
      </c>
      <c r="B725" s="56" t="s">
        <v>71</v>
      </c>
      <c r="C725" s="56" t="s">
        <v>1105</v>
      </c>
      <c r="D725" s="170" t="s">
        <v>1609</v>
      </c>
      <c r="E725" s="171"/>
      <c r="F725" s="171"/>
      <c r="G725" s="56" t="s">
        <v>1631</v>
      </c>
      <c r="H725" s="65">
        <v>21</v>
      </c>
      <c r="I725" s="65">
        <v>1332</v>
      </c>
      <c r="J725" s="65">
        <f t="shared" si="468"/>
        <v>27972</v>
      </c>
      <c r="K725" s="65">
        <f t="shared" si="469"/>
        <v>0</v>
      </c>
      <c r="L725" s="65">
        <f t="shared" si="470"/>
        <v>27972</v>
      </c>
      <c r="M725" s="74" t="s">
        <v>1657</v>
      </c>
      <c r="N725" s="19"/>
      <c r="Z725" s="35">
        <f t="shared" si="471"/>
        <v>0</v>
      </c>
      <c r="AB725" s="35">
        <f t="shared" si="472"/>
        <v>27972</v>
      </c>
      <c r="AC725" s="35">
        <f t="shared" si="473"/>
        <v>0</v>
      </c>
      <c r="AD725" s="35">
        <f t="shared" si="474"/>
        <v>0</v>
      </c>
      <c r="AE725" s="35">
        <f t="shared" si="475"/>
        <v>0</v>
      </c>
      <c r="AF725" s="35">
        <f t="shared" si="476"/>
        <v>0</v>
      </c>
      <c r="AG725" s="35">
        <f t="shared" si="477"/>
        <v>0</v>
      </c>
      <c r="AH725" s="35">
        <f t="shared" si="478"/>
        <v>0</v>
      </c>
      <c r="AI725" s="77" t="s">
        <v>71</v>
      </c>
      <c r="AJ725" s="65">
        <f t="shared" si="479"/>
        <v>0</v>
      </c>
      <c r="AK725" s="65">
        <f t="shared" si="480"/>
        <v>0</v>
      </c>
      <c r="AL725" s="65">
        <f t="shared" si="481"/>
        <v>27972</v>
      </c>
      <c r="AN725" s="35">
        <v>21</v>
      </c>
      <c r="AO725" s="35">
        <f>I725*1</f>
        <v>1332</v>
      </c>
      <c r="AP725" s="35">
        <f>I725*(1-1)</f>
        <v>0</v>
      </c>
      <c r="AQ725" s="79" t="s">
        <v>109</v>
      </c>
      <c r="AV725" s="35">
        <f t="shared" si="482"/>
        <v>27972</v>
      </c>
      <c r="AW725" s="35">
        <f t="shared" si="483"/>
        <v>27972</v>
      </c>
      <c r="AX725" s="35">
        <f t="shared" si="484"/>
        <v>0</v>
      </c>
      <c r="AY725" s="80" t="s">
        <v>1719</v>
      </c>
      <c r="AZ725" s="80" t="s">
        <v>1769</v>
      </c>
      <c r="BA725" s="77" t="s">
        <v>1784</v>
      </c>
      <c r="BC725" s="35">
        <f t="shared" si="485"/>
        <v>27972</v>
      </c>
      <c r="BD725" s="35">
        <f t="shared" si="486"/>
        <v>1332</v>
      </c>
      <c r="BE725" s="35">
        <v>0</v>
      </c>
      <c r="BF725" s="35">
        <f>725</f>
        <v>725</v>
      </c>
      <c r="BH725" s="65">
        <f t="shared" si="487"/>
        <v>27972</v>
      </c>
      <c r="BI725" s="65">
        <f t="shared" si="488"/>
        <v>0</v>
      </c>
      <c r="BJ725" s="65">
        <f t="shared" si="489"/>
        <v>27972</v>
      </c>
      <c r="BK725" s="65" t="s">
        <v>1642</v>
      </c>
      <c r="BL725" s="35">
        <v>89</v>
      </c>
    </row>
    <row r="726" spans="1:64">
      <c r="A726" s="46"/>
      <c r="B726" s="54" t="s">
        <v>71</v>
      </c>
      <c r="C726" s="54" t="s">
        <v>181</v>
      </c>
      <c r="D726" s="163" t="s">
        <v>231</v>
      </c>
      <c r="E726" s="164"/>
      <c r="F726" s="164"/>
      <c r="G726" s="61" t="s">
        <v>57</v>
      </c>
      <c r="H726" s="61" t="s">
        <v>57</v>
      </c>
      <c r="I726" s="61" t="s">
        <v>57</v>
      </c>
      <c r="J726" s="83">
        <f>SUM(J727:J729)</f>
        <v>0</v>
      </c>
      <c r="K726" s="83">
        <f>SUM(K727:K729)</f>
        <v>6590.2</v>
      </c>
      <c r="L726" s="83">
        <f>SUM(L727:L729)</f>
        <v>6590.2</v>
      </c>
      <c r="M726" s="72"/>
      <c r="N726" s="19"/>
      <c r="AI726" s="77" t="s">
        <v>71</v>
      </c>
      <c r="AS726" s="83">
        <f>SUM(AJ727:AJ729)</f>
        <v>0</v>
      </c>
      <c r="AT726" s="83">
        <f>SUM(AK727:AK729)</f>
        <v>0</v>
      </c>
      <c r="AU726" s="83">
        <f>SUM(AL727:AL729)</f>
        <v>6590.2</v>
      </c>
    </row>
    <row r="727" spans="1:64">
      <c r="A727" s="47" t="s">
        <v>696</v>
      </c>
      <c r="B727" s="55" t="s">
        <v>71</v>
      </c>
      <c r="C727" s="55" t="s">
        <v>1106</v>
      </c>
      <c r="D727" s="165" t="s">
        <v>1610</v>
      </c>
      <c r="E727" s="166"/>
      <c r="F727" s="166"/>
      <c r="G727" s="55" t="s">
        <v>1633</v>
      </c>
      <c r="H727" s="64">
        <v>41.05</v>
      </c>
      <c r="I727" s="64">
        <v>112</v>
      </c>
      <c r="J727" s="64">
        <f>H727*AO727</f>
        <v>0</v>
      </c>
      <c r="K727" s="64">
        <f>H727*AP727</f>
        <v>4597.5999999999995</v>
      </c>
      <c r="L727" s="64">
        <f>H727*I727</f>
        <v>4597.5999999999995</v>
      </c>
      <c r="M727" s="73" t="s">
        <v>1657</v>
      </c>
      <c r="N727" s="19"/>
      <c r="Z727" s="35">
        <f>IF(AQ727="5",BJ727,0)</f>
        <v>0</v>
      </c>
      <c r="AB727" s="35">
        <f>IF(AQ727="1",BH727,0)</f>
        <v>0</v>
      </c>
      <c r="AC727" s="35">
        <f>IF(AQ727="1",BI727,0)</f>
        <v>4597.5999999999995</v>
      </c>
      <c r="AD727" s="35">
        <f>IF(AQ727="7",BH727,0)</f>
        <v>0</v>
      </c>
      <c r="AE727" s="35">
        <f>IF(AQ727="7",BI727,0)</f>
        <v>0</v>
      </c>
      <c r="AF727" s="35">
        <f>IF(AQ727="2",BH727,0)</f>
        <v>0</v>
      </c>
      <c r="AG727" s="35">
        <f>IF(AQ727="2",BI727,0)</f>
        <v>0</v>
      </c>
      <c r="AH727" s="35">
        <f>IF(AQ727="0",BJ727,0)</f>
        <v>0</v>
      </c>
      <c r="AI727" s="77" t="s">
        <v>71</v>
      </c>
      <c r="AJ727" s="64">
        <f>IF(AN727=0,L727,0)</f>
        <v>0</v>
      </c>
      <c r="AK727" s="64">
        <f>IF(AN727=15,L727,0)</f>
        <v>0</v>
      </c>
      <c r="AL727" s="64">
        <f>IF(AN727=21,L727,0)</f>
        <v>4597.5999999999995</v>
      </c>
      <c r="AN727" s="35">
        <v>21</v>
      </c>
      <c r="AO727" s="35">
        <f>I727*0</f>
        <v>0</v>
      </c>
      <c r="AP727" s="35">
        <f>I727*(1-0)</f>
        <v>112</v>
      </c>
      <c r="AQ727" s="78" t="s">
        <v>109</v>
      </c>
      <c r="AV727" s="35">
        <f>AW727+AX727</f>
        <v>4597.5999999999995</v>
      </c>
      <c r="AW727" s="35">
        <f>H727*AO727</f>
        <v>0</v>
      </c>
      <c r="AX727" s="35">
        <f>H727*AP727</f>
        <v>4597.5999999999995</v>
      </c>
      <c r="AY727" s="80" t="s">
        <v>1720</v>
      </c>
      <c r="AZ727" s="80" t="s">
        <v>1762</v>
      </c>
      <c r="BA727" s="77" t="s">
        <v>1784</v>
      </c>
      <c r="BC727" s="35">
        <f>AW727+AX727</f>
        <v>4597.5999999999995</v>
      </c>
      <c r="BD727" s="35">
        <f>I727/(100-BE727)*100</f>
        <v>112.00000000000001</v>
      </c>
      <c r="BE727" s="35">
        <v>0</v>
      </c>
      <c r="BF727" s="35">
        <f>727</f>
        <v>727</v>
      </c>
      <c r="BH727" s="64">
        <f>H727*AO727</f>
        <v>0</v>
      </c>
      <c r="BI727" s="64">
        <f>H727*AP727</f>
        <v>4597.5999999999995</v>
      </c>
      <c r="BJ727" s="64">
        <f>H727*I727</f>
        <v>4597.5999999999995</v>
      </c>
      <c r="BK727" s="64" t="s">
        <v>1790</v>
      </c>
      <c r="BL727" s="35">
        <v>91</v>
      </c>
    </row>
    <row r="728" spans="1:64">
      <c r="A728" s="19"/>
      <c r="C728" s="59" t="s">
        <v>730</v>
      </c>
      <c r="D728" s="167" t="s">
        <v>1611</v>
      </c>
      <c r="E728" s="168"/>
      <c r="F728" s="168"/>
      <c r="G728" s="168"/>
      <c r="H728" s="168"/>
      <c r="I728" s="168"/>
      <c r="J728" s="168"/>
      <c r="K728" s="168"/>
      <c r="L728" s="168"/>
      <c r="M728" s="169"/>
      <c r="N728" s="19"/>
    </row>
    <row r="729" spans="1:64">
      <c r="A729" s="47" t="s">
        <v>697</v>
      </c>
      <c r="B729" s="55" t="s">
        <v>71</v>
      </c>
      <c r="C729" s="55" t="s">
        <v>1107</v>
      </c>
      <c r="D729" s="165" t="s">
        <v>1612</v>
      </c>
      <c r="E729" s="166"/>
      <c r="F729" s="166"/>
      <c r="G729" s="55" t="s">
        <v>1633</v>
      </c>
      <c r="H729" s="64">
        <v>24.6</v>
      </c>
      <c r="I729" s="64">
        <v>81</v>
      </c>
      <c r="J729" s="64">
        <f>H729*AO729</f>
        <v>0</v>
      </c>
      <c r="K729" s="64">
        <f>H729*AP729</f>
        <v>1992.6000000000001</v>
      </c>
      <c r="L729" s="64">
        <f>H729*I729</f>
        <v>1992.6000000000001</v>
      </c>
      <c r="M729" s="73" t="s">
        <v>1657</v>
      </c>
      <c r="N729" s="19"/>
      <c r="Z729" s="35">
        <f>IF(AQ729="5",BJ729,0)</f>
        <v>0</v>
      </c>
      <c r="AB729" s="35">
        <f>IF(AQ729="1",BH729,0)</f>
        <v>0</v>
      </c>
      <c r="AC729" s="35">
        <f>IF(AQ729="1",BI729,0)</f>
        <v>1992.6000000000001</v>
      </c>
      <c r="AD729" s="35">
        <f>IF(AQ729="7",BH729,0)</f>
        <v>0</v>
      </c>
      <c r="AE729" s="35">
        <f>IF(AQ729="7",BI729,0)</f>
        <v>0</v>
      </c>
      <c r="AF729" s="35">
        <f>IF(AQ729="2",BH729,0)</f>
        <v>0</v>
      </c>
      <c r="AG729" s="35">
        <f>IF(AQ729="2",BI729,0)</f>
        <v>0</v>
      </c>
      <c r="AH729" s="35">
        <f>IF(AQ729="0",BJ729,0)</f>
        <v>0</v>
      </c>
      <c r="AI729" s="77" t="s">
        <v>71</v>
      </c>
      <c r="AJ729" s="64">
        <f>IF(AN729=0,L729,0)</f>
        <v>0</v>
      </c>
      <c r="AK729" s="64">
        <f>IF(AN729=15,L729,0)</f>
        <v>0</v>
      </c>
      <c r="AL729" s="64">
        <f>IF(AN729=21,L729,0)</f>
        <v>1992.6000000000001</v>
      </c>
      <c r="AN729" s="35">
        <v>21</v>
      </c>
      <c r="AO729" s="35">
        <f>I729*0</f>
        <v>0</v>
      </c>
      <c r="AP729" s="35">
        <f>I729*(1-0)</f>
        <v>81</v>
      </c>
      <c r="AQ729" s="78" t="s">
        <v>109</v>
      </c>
      <c r="AV729" s="35">
        <f>AW729+AX729</f>
        <v>1992.6000000000001</v>
      </c>
      <c r="AW729" s="35">
        <f>H729*AO729</f>
        <v>0</v>
      </c>
      <c r="AX729" s="35">
        <f>H729*AP729</f>
        <v>1992.6000000000001</v>
      </c>
      <c r="AY729" s="80" t="s">
        <v>1720</v>
      </c>
      <c r="AZ729" s="80" t="s">
        <v>1762</v>
      </c>
      <c r="BA729" s="77" t="s">
        <v>1784</v>
      </c>
      <c r="BC729" s="35">
        <f>AW729+AX729</f>
        <v>1992.6000000000001</v>
      </c>
      <c r="BD729" s="35">
        <f>I729/(100-BE729)*100</f>
        <v>81</v>
      </c>
      <c r="BE729" s="35">
        <v>0</v>
      </c>
      <c r="BF729" s="35">
        <f>729</f>
        <v>729</v>
      </c>
      <c r="BH729" s="64">
        <f>H729*AO729</f>
        <v>0</v>
      </c>
      <c r="BI729" s="64">
        <f>H729*AP729</f>
        <v>1992.6000000000001</v>
      </c>
      <c r="BJ729" s="64">
        <f>H729*I729</f>
        <v>1992.6000000000001</v>
      </c>
      <c r="BK729" s="64" t="s">
        <v>1790</v>
      </c>
      <c r="BL729" s="35">
        <v>91</v>
      </c>
    </row>
    <row r="730" spans="1:64">
      <c r="A730" s="49"/>
      <c r="B730" s="57" t="s">
        <v>72</v>
      </c>
      <c r="C730" s="57"/>
      <c r="D730" s="172" t="s">
        <v>88</v>
      </c>
      <c r="E730" s="173"/>
      <c r="F730" s="173"/>
      <c r="G730" s="62" t="s">
        <v>57</v>
      </c>
      <c r="H730" s="62" t="s">
        <v>57</v>
      </c>
      <c r="I730" s="62" t="s">
        <v>57</v>
      </c>
      <c r="J730" s="84">
        <f>J731+J754</f>
        <v>63002</v>
      </c>
      <c r="K730" s="84">
        <f>K731+K754</f>
        <v>38267.199999999997</v>
      </c>
      <c r="L730" s="84">
        <f>L731+L754</f>
        <v>101269.2</v>
      </c>
      <c r="M730" s="75"/>
      <c r="N730" s="19"/>
    </row>
    <row r="731" spans="1:64">
      <c r="A731" s="46"/>
      <c r="B731" s="54" t="s">
        <v>72</v>
      </c>
      <c r="C731" s="54" t="s">
        <v>161</v>
      </c>
      <c r="D731" s="163" t="s">
        <v>211</v>
      </c>
      <c r="E731" s="164"/>
      <c r="F731" s="164"/>
      <c r="G731" s="61" t="s">
        <v>57</v>
      </c>
      <c r="H731" s="61" t="s">
        <v>57</v>
      </c>
      <c r="I731" s="61" t="s">
        <v>57</v>
      </c>
      <c r="J731" s="83">
        <f>SUM(J732:J753)</f>
        <v>63002</v>
      </c>
      <c r="K731" s="83">
        <f>SUM(K732:K753)</f>
        <v>33987.199999999997</v>
      </c>
      <c r="L731" s="83">
        <f>SUM(L732:L753)</f>
        <v>96989.2</v>
      </c>
      <c r="M731" s="72"/>
      <c r="N731" s="19"/>
      <c r="AI731" s="77" t="s">
        <v>72</v>
      </c>
      <c r="AS731" s="83">
        <f>SUM(AJ732:AJ753)</f>
        <v>0</v>
      </c>
      <c r="AT731" s="83">
        <f>SUM(AK732:AK753)</f>
        <v>0</v>
      </c>
      <c r="AU731" s="83">
        <f>SUM(AL732:AL753)</f>
        <v>96989.2</v>
      </c>
    </row>
    <row r="732" spans="1:64">
      <c r="A732" s="47" t="s">
        <v>698</v>
      </c>
      <c r="B732" s="55" t="s">
        <v>72</v>
      </c>
      <c r="C732" s="55" t="s">
        <v>974</v>
      </c>
      <c r="D732" s="165" t="s">
        <v>1444</v>
      </c>
      <c r="E732" s="166"/>
      <c r="F732" s="166"/>
      <c r="G732" s="55" t="s">
        <v>1633</v>
      </c>
      <c r="H732" s="64">
        <v>220</v>
      </c>
      <c r="I732" s="64">
        <v>42.3</v>
      </c>
      <c r="J732" s="64">
        <f t="shared" ref="J732:J750" si="492">H732*AO732</f>
        <v>0</v>
      </c>
      <c r="K732" s="64">
        <f t="shared" ref="K732:K750" si="493">H732*AP732</f>
        <v>9306</v>
      </c>
      <c r="L732" s="64">
        <f t="shared" ref="L732:L750" si="494">H732*I732</f>
        <v>9306</v>
      </c>
      <c r="M732" s="73"/>
      <c r="N732" s="19"/>
      <c r="Z732" s="35">
        <f t="shared" ref="Z732:Z750" si="495">IF(AQ732="5",BJ732,0)</f>
        <v>0</v>
      </c>
      <c r="AB732" s="35">
        <f t="shared" ref="AB732:AB750" si="496">IF(AQ732="1",BH732,0)</f>
        <v>0</v>
      </c>
      <c r="AC732" s="35">
        <f t="shared" ref="AC732:AC750" si="497">IF(AQ732="1",BI732,0)</f>
        <v>0</v>
      </c>
      <c r="AD732" s="35">
        <f t="shared" ref="AD732:AD750" si="498">IF(AQ732="7",BH732,0)</f>
        <v>0</v>
      </c>
      <c r="AE732" s="35">
        <f t="shared" ref="AE732:AE750" si="499">IF(AQ732="7",BI732,0)</f>
        <v>0</v>
      </c>
      <c r="AF732" s="35">
        <f t="shared" ref="AF732:AF750" si="500">IF(AQ732="2",BH732,0)</f>
        <v>0</v>
      </c>
      <c r="AG732" s="35">
        <f t="shared" ref="AG732:AG750" si="501">IF(AQ732="2",BI732,0)</f>
        <v>9306</v>
      </c>
      <c r="AH732" s="35">
        <f t="shared" ref="AH732:AH750" si="502">IF(AQ732="0",BJ732,0)</f>
        <v>0</v>
      </c>
      <c r="AI732" s="77" t="s">
        <v>72</v>
      </c>
      <c r="AJ732" s="64">
        <f t="shared" ref="AJ732:AJ750" si="503">IF(AN732=0,L732,0)</f>
        <v>0</v>
      </c>
      <c r="AK732" s="64">
        <f t="shared" ref="AK732:AK750" si="504">IF(AN732=15,L732,0)</f>
        <v>0</v>
      </c>
      <c r="AL732" s="64">
        <f t="shared" ref="AL732:AL750" si="505">IF(AN732=21,L732,0)</f>
        <v>9306</v>
      </c>
      <c r="AN732" s="35">
        <v>21</v>
      </c>
      <c r="AO732" s="35">
        <f t="shared" ref="AO732:AO745" si="506">I732*0</f>
        <v>0</v>
      </c>
      <c r="AP732" s="35">
        <f t="shared" ref="AP732:AP745" si="507">I732*(1-0)</f>
        <v>42.3</v>
      </c>
      <c r="AQ732" s="78" t="s">
        <v>110</v>
      </c>
      <c r="AV732" s="35">
        <f t="shared" ref="AV732:AV750" si="508">AW732+AX732</f>
        <v>9306</v>
      </c>
      <c r="AW732" s="35">
        <f t="shared" ref="AW732:AW750" si="509">H732*AO732</f>
        <v>0</v>
      </c>
      <c r="AX732" s="35">
        <f t="shared" ref="AX732:AX750" si="510">H732*AP732</f>
        <v>9306</v>
      </c>
      <c r="AY732" s="80" t="s">
        <v>1700</v>
      </c>
      <c r="AZ732" s="80" t="s">
        <v>1770</v>
      </c>
      <c r="BA732" s="77" t="s">
        <v>1785</v>
      </c>
      <c r="BC732" s="35">
        <f t="shared" ref="BC732:BC750" si="511">AW732+AX732</f>
        <v>9306</v>
      </c>
      <c r="BD732" s="35">
        <f t="shared" ref="BD732:BD750" si="512">I732/(100-BE732)*100</f>
        <v>42.3</v>
      </c>
      <c r="BE732" s="35">
        <v>0</v>
      </c>
      <c r="BF732" s="35">
        <f>732</f>
        <v>732</v>
      </c>
      <c r="BH732" s="64">
        <f t="shared" ref="BH732:BH750" si="513">H732*AO732</f>
        <v>0</v>
      </c>
      <c r="BI732" s="64">
        <f t="shared" ref="BI732:BI750" si="514">H732*AP732</f>
        <v>9306</v>
      </c>
      <c r="BJ732" s="64">
        <f t="shared" ref="BJ732:BJ750" si="515">H732*I732</f>
        <v>9306</v>
      </c>
      <c r="BK732" s="64" t="s">
        <v>1790</v>
      </c>
      <c r="BL732" s="35" t="s">
        <v>161</v>
      </c>
    </row>
    <row r="733" spans="1:64">
      <c r="A733" s="47" t="s">
        <v>699</v>
      </c>
      <c r="B733" s="55" t="s">
        <v>72</v>
      </c>
      <c r="C733" s="55" t="s">
        <v>975</v>
      </c>
      <c r="D733" s="165" t="s">
        <v>1445</v>
      </c>
      <c r="E733" s="166"/>
      <c r="F733" s="166"/>
      <c r="G733" s="55" t="s">
        <v>1631</v>
      </c>
      <c r="H733" s="64">
        <v>4</v>
      </c>
      <c r="I733" s="64">
        <v>85.3</v>
      </c>
      <c r="J733" s="64">
        <f t="shared" si="492"/>
        <v>0</v>
      </c>
      <c r="K733" s="64">
        <f t="shared" si="493"/>
        <v>341.2</v>
      </c>
      <c r="L733" s="64">
        <f t="shared" si="494"/>
        <v>341.2</v>
      </c>
      <c r="M733" s="73"/>
      <c r="N733" s="19"/>
      <c r="Z733" s="35">
        <f t="shared" si="495"/>
        <v>0</v>
      </c>
      <c r="AB733" s="35">
        <f t="shared" si="496"/>
        <v>0</v>
      </c>
      <c r="AC733" s="35">
        <f t="shared" si="497"/>
        <v>0</v>
      </c>
      <c r="AD733" s="35">
        <f t="shared" si="498"/>
        <v>0</v>
      </c>
      <c r="AE733" s="35">
        <f t="shared" si="499"/>
        <v>0</v>
      </c>
      <c r="AF733" s="35">
        <f t="shared" si="500"/>
        <v>0</v>
      </c>
      <c r="AG733" s="35">
        <f t="shared" si="501"/>
        <v>341.2</v>
      </c>
      <c r="AH733" s="35">
        <f t="shared" si="502"/>
        <v>0</v>
      </c>
      <c r="AI733" s="77" t="s">
        <v>72</v>
      </c>
      <c r="AJ733" s="64">
        <f t="shared" si="503"/>
        <v>0</v>
      </c>
      <c r="AK733" s="64">
        <f t="shared" si="504"/>
        <v>0</v>
      </c>
      <c r="AL733" s="64">
        <f t="shared" si="505"/>
        <v>341.2</v>
      </c>
      <c r="AN733" s="35">
        <v>21</v>
      </c>
      <c r="AO733" s="35">
        <f t="shared" si="506"/>
        <v>0</v>
      </c>
      <c r="AP733" s="35">
        <f t="shared" si="507"/>
        <v>85.3</v>
      </c>
      <c r="AQ733" s="78" t="s">
        <v>110</v>
      </c>
      <c r="AV733" s="35">
        <f t="shared" si="508"/>
        <v>341.2</v>
      </c>
      <c r="AW733" s="35">
        <f t="shared" si="509"/>
        <v>0</v>
      </c>
      <c r="AX733" s="35">
        <f t="shared" si="510"/>
        <v>341.2</v>
      </c>
      <c r="AY733" s="80" t="s">
        <v>1700</v>
      </c>
      <c r="AZ733" s="80" t="s">
        <v>1770</v>
      </c>
      <c r="BA733" s="77" t="s">
        <v>1785</v>
      </c>
      <c r="BC733" s="35">
        <f t="shared" si="511"/>
        <v>341.2</v>
      </c>
      <c r="BD733" s="35">
        <f t="shared" si="512"/>
        <v>85.3</v>
      </c>
      <c r="BE733" s="35">
        <v>0</v>
      </c>
      <c r="BF733" s="35">
        <f>733</f>
        <v>733</v>
      </c>
      <c r="BH733" s="64">
        <f t="shared" si="513"/>
        <v>0</v>
      </c>
      <c r="BI733" s="64">
        <f t="shared" si="514"/>
        <v>341.2</v>
      </c>
      <c r="BJ733" s="64">
        <f t="shared" si="515"/>
        <v>341.2</v>
      </c>
      <c r="BK733" s="64" t="s">
        <v>1790</v>
      </c>
      <c r="BL733" s="35" t="s">
        <v>161</v>
      </c>
    </row>
    <row r="734" spans="1:64">
      <c r="A734" s="47" t="s">
        <v>700</v>
      </c>
      <c r="B734" s="55" t="s">
        <v>72</v>
      </c>
      <c r="C734" s="55" t="s">
        <v>976</v>
      </c>
      <c r="D734" s="165" t="s">
        <v>1446</v>
      </c>
      <c r="E734" s="166"/>
      <c r="F734" s="166"/>
      <c r="G734" s="55" t="s">
        <v>1633</v>
      </c>
      <c r="H734" s="64">
        <v>80</v>
      </c>
      <c r="I734" s="64">
        <v>22</v>
      </c>
      <c r="J734" s="64">
        <f t="shared" si="492"/>
        <v>0</v>
      </c>
      <c r="K734" s="64">
        <f t="shared" si="493"/>
        <v>1760</v>
      </c>
      <c r="L734" s="64">
        <f t="shared" si="494"/>
        <v>1760</v>
      </c>
      <c r="M734" s="73"/>
      <c r="N734" s="19"/>
      <c r="Z734" s="35">
        <f t="shared" si="495"/>
        <v>0</v>
      </c>
      <c r="AB734" s="35">
        <f t="shared" si="496"/>
        <v>0</v>
      </c>
      <c r="AC734" s="35">
        <f t="shared" si="497"/>
        <v>0</v>
      </c>
      <c r="AD734" s="35">
        <f t="shared" si="498"/>
        <v>0</v>
      </c>
      <c r="AE734" s="35">
        <f t="shared" si="499"/>
        <v>0</v>
      </c>
      <c r="AF734" s="35">
        <f t="shared" si="500"/>
        <v>0</v>
      </c>
      <c r="AG734" s="35">
        <f t="shared" si="501"/>
        <v>1760</v>
      </c>
      <c r="AH734" s="35">
        <f t="shared" si="502"/>
        <v>0</v>
      </c>
      <c r="AI734" s="77" t="s">
        <v>72</v>
      </c>
      <c r="AJ734" s="64">
        <f t="shared" si="503"/>
        <v>0</v>
      </c>
      <c r="AK734" s="64">
        <f t="shared" si="504"/>
        <v>0</v>
      </c>
      <c r="AL734" s="64">
        <f t="shared" si="505"/>
        <v>1760</v>
      </c>
      <c r="AN734" s="35">
        <v>21</v>
      </c>
      <c r="AO734" s="35">
        <f t="shared" si="506"/>
        <v>0</v>
      </c>
      <c r="AP734" s="35">
        <f t="shared" si="507"/>
        <v>22</v>
      </c>
      <c r="AQ734" s="78" t="s">
        <v>110</v>
      </c>
      <c r="AV734" s="35">
        <f t="shared" si="508"/>
        <v>1760</v>
      </c>
      <c r="AW734" s="35">
        <f t="shared" si="509"/>
        <v>0</v>
      </c>
      <c r="AX734" s="35">
        <f t="shared" si="510"/>
        <v>1760</v>
      </c>
      <c r="AY734" s="80" t="s">
        <v>1700</v>
      </c>
      <c r="AZ734" s="80" t="s">
        <v>1770</v>
      </c>
      <c r="BA734" s="77" t="s">
        <v>1785</v>
      </c>
      <c r="BC734" s="35">
        <f t="shared" si="511"/>
        <v>1760</v>
      </c>
      <c r="BD734" s="35">
        <f t="shared" si="512"/>
        <v>22</v>
      </c>
      <c r="BE734" s="35">
        <v>0</v>
      </c>
      <c r="BF734" s="35">
        <f>734</f>
        <v>734</v>
      </c>
      <c r="BH734" s="64">
        <f t="shared" si="513"/>
        <v>0</v>
      </c>
      <c r="BI734" s="64">
        <f t="shared" si="514"/>
        <v>1760</v>
      </c>
      <c r="BJ734" s="64">
        <f t="shared" si="515"/>
        <v>1760</v>
      </c>
      <c r="BK734" s="64" t="s">
        <v>1790</v>
      </c>
      <c r="BL734" s="35" t="s">
        <v>161</v>
      </c>
    </row>
    <row r="735" spans="1:64">
      <c r="A735" s="47" t="s">
        <v>701</v>
      </c>
      <c r="B735" s="55" t="s">
        <v>72</v>
      </c>
      <c r="C735" s="55" t="s">
        <v>987</v>
      </c>
      <c r="D735" s="165" t="s">
        <v>1471</v>
      </c>
      <c r="E735" s="166"/>
      <c r="F735" s="166"/>
      <c r="G735" s="55" t="s">
        <v>1633</v>
      </c>
      <c r="H735" s="64">
        <v>240</v>
      </c>
      <c r="I735" s="64">
        <v>22</v>
      </c>
      <c r="J735" s="64">
        <f t="shared" si="492"/>
        <v>0</v>
      </c>
      <c r="K735" s="64">
        <f t="shared" si="493"/>
        <v>5280</v>
      </c>
      <c r="L735" s="64">
        <f t="shared" si="494"/>
        <v>5280</v>
      </c>
      <c r="M735" s="73"/>
      <c r="N735" s="19"/>
      <c r="Z735" s="35">
        <f t="shared" si="495"/>
        <v>0</v>
      </c>
      <c r="AB735" s="35">
        <f t="shared" si="496"/>
        <v>0</v>
      </c>
      <c r="AC735" s="35">
        <f t="shared" si="497"/>
        <v>0</v>
      </c>
      <c r="AD735" s="35">
        <f t="shared" si="498"/>
        <v>0</v>
      </c>
      <c r="AE735" s="35">
        <f t="shared" si="499"/>
        <v>0</v>
      </c>
      <c r="AF735" s="35">
        <f t="shared" si="500"/>
        <v>0</v>
      </c>
      <c r="AG735" s="35">
        <f t="shared" si="501"/>
        <v>5280</v>
      </c>
      <c r="AH735" s="35">
        <f t="shared" si="502"/>
        <v>0</v>
      </c>
      <c r="AI735" s="77" t="s">
        <v>72</v>
      </c>
      <c r="AJ735" s="64">
        <f t="shared" si="503"/>
        <v>0</v>
      </c>
      <c r="AK735" s="64">
        <f t="shared" si="504"/>
        <v>0</v>
      </c>
      <c r="AL735" s="64">
        <f t="shared" si="505"/>
        <v>5280</v>
      </c>
      <c r="AN735" s="35">
        <v>21</v>
      </c>
      <c r="AO735" s="35">
        <f t="shared" si="506"/>
        <v>0</v>
      </c>
      <c r="AP735" s="35">
        <f t="shared" si="507"/>
        <v>22</v>
      </c>
      <c r="AQ735" s="78" t="s">
        <v>110</v>
      </c>
      <c r="AV735" s="35">
        <f t="shared" si="508"/>
        <v>5280</v>
      </c>
      <c r="AW735" s="35">
        <f t="shared" si="509"/>
        <v>0</v>
      </c>
      <c r="AX735" s="35">
        <f t="shared" si="510"/>
        <v>5280</v>
      </c>
      <c r="AY735" s="80" t="s">
        <v>1700</v>
      </c>
      <c r="AZ735" s="80" t="s">
        <v>1770</v>
      </c>
      <c r="BA735" s="77" t="s">
        <v>1785</v>
      </c>
      <c r="BC735" s="35">
        <f t="shared" si="511"/>
        <v>5280</v>
      </c>
      <c r="BD735" s="35">
        <f t="shared" si="512"/>
        <v>22</v>
      </c>
      <c r="BE735" s="35">
        <v>0</v>
      </c>
      <c r="BF735" s="35">
        <f>735</f>
        <v>735</v>
      </c>
      <c r="BH735" s="64">
        <f t="shared" si="513"/>
        <v>0</v>
      </c>
      <c r="BI735" s="64">
        <f t="shared" si="514"/>
        <v>5280</v>
      </c>
      <c r="BJ735" s="64">
        <f t="shared" si="515"/>
        <v>5280</v>
      </c>
      <c r="BK735" s="64" t="s">
        <v>1790</v>
      </c>
      <c r="BL735" s="35" t="s">
        <v>161</v>
      </c>
    </row>
    <row r="736" spans="1:64">
      <c r="A736" s="47" t="s">
        <v>702</v>
      </c>
      <c r="B736" s="55" t="s">
        <v>72</v>
      </c>
      <c r="C736" s="55" t="s">
        <v>988</v>
      </c>
      <c r="D736" s="165" t="s">
        <v>1472</v>
      </c>
      <c r="E736" s="166"/>
      <c r="F736" s="166"/>
      <c r="G736" s="55" t="s">
        <v>1631</v>
      </c>
      <c r="H736" s="64">
        <v>4</v>
      </c>
      <c r="I736" s="64">
        <v>105</v>
      </c>
      <c r="J736" s="64">
        <f t="shared" si="492"/>
        <v>0</v>
      </c>
      <c r="K736" s="64">
        <f t="shared" si="493"/>
        <v>420</v>
      </c>
      <c r="L736" s="64">
        <f t="shared" si="494"/>
        <v>420</v>
      </c>
      <c r="M736" s="73"/>
      <c r="N736" s="19"/>
      <c r="Z736" s="35">
        <f t="shared" si="495"/>
        <v>0</v>
      </c>
      <c r="AB736" s="35">
        <f t="shared" si="496"/>
        <v>0</v>
      </c>
      <c r="AC736" s="35">
        <f t="shared" si="497"/>
        <v>0</v>
      </c>
      <c r="AD736" s="35">
        <f t="shared" si="498"/>
        <v>0</v>
      </c>
      <c r="AE736" s="35">
        <f t="shared" si="499"/>
        <v>0</v>
      </c>
      <c r="AF736" s="35">
        <f t="shared" si="500"/>
        <v>0</v>
      </c>
      <c r="AG736" s="35">
        <f t="shared" si="501"/>
        <v>420</v>
      </c>
      <c r="AH736" s="35">
        <f t="shared" si="502"/>
        <v>0</v>
      </c>
      <c r="AI736" s="77" t="s">
        <v>72</v>
      </c>
      <c r="AJ736" s="64">
        <f t="shared" si="503"/>
        <v>0</v>
      </c>
      <c r="AK736" s="64">
        <f t="shared" si="504"/>
        <v>0</v>
      </c>
      <c r="AL736" s="64">
        <f t="shared" si="505"/>
        <v>420</v>
      </c>
      <c r="AN736" s="35">
        <v>21</v>
      </c>
      <c r="AO736" s="35">
        <f t="shared" si="506"/>
        <v>0</v>
      </c>
      <c r="AP736" s="35">
        <f t="shared" si="507"/>
        <v>105</v>
      </c>
      <c r="AQ736" s="78" t="s">
        <v>110</v>
      </c>
      <c r="AV736" s="35">
        <f t="shared" si="508"/>
        <v>420</v>
      </c>
      <c r="AW736" s="35">
        <f t="shared" si="509"/>
        <v>0</v>
      </c>
      <c r="AX736" s="35">
        <f t="shared" si="510"/>
        <v>420</v>
      </c>
      <c r="AY736" s="80" t="s">
        <v>1700</v>
      </c>
      <c r="AZ736" s="80" t="s">
        <v>1770</v>
      </c>
      <c r="BA736" s="77" t="s">
        <v>1785</v>
      </c>
      <c r="BC736" s="35">
        <f t="shared" si="511"/>
        <v>420</v>
      </c>
      <c r="BD736" s="35">
        <f t="shared" si="512"/>
        <v>105</v>
      </c>
      <c r="BE736" s="35">
        <v>0</v>
      </c>
      <c r="BF736" s="35">
        <f>736</f>
        <v>736</v>
      </c>
      <c r="BH736" s="64">
        <f t="shared" si="513"/>
        <v>0</v>
      </c>
      <c r="BI736" s="64">
        <f t="shared" si="514"/>
        <v>420</v>
      </c>
      <c r="BJ736" s="64">
        <f t="shared" si="515"/>
        <v>420</v>
      </c>
      <c r="BK736" s="64" t="s">
        <v>1790</v>
      </c>
      <c r="BL736" s="35" t="s">
        <v>161</v>
      </c>
    </row>
    <row r="737" spans="1:64">
      <c r="A737" s="47" t="s">
        <v>703</v>
      </c>
      <c r="B737" s="55" t="s">
        <v>72</v>
      </c>
      <c r="C737" s="55" t="s">
        <v>989</v>
      </c>
      <c r="D737" s="165" t="s">
        <v>1473</v>
      </c>
      <c r="E737" s="166"/>
      <c r="F737" s="166"/>
      <c r="G737" s="55" t="s">
        <v>1631</v>
      </c>
      <c r="H737" s="64">
        <v>12</v>
      </c>
      <c r="I737" s="64">
        <v>95</v>
      </c>
      <c r="J737" s="64">
        <f t="shared" si="492"/>
        <v>0</v>
      </c>
      <c r="K737" s="64">
        <f t="shared" si="493"/>
        <v>1140</v>
      </c>
      <c r="L737" s="64">
        <f t="shared" si="494"/>
        <v>1140</v>
      </c>
      <c r="M737" s="73"/>
      <c r="N737" s="19"/>
      <c r="Z737" s="35">
        <f t="shared" si="495"/>
        <v>0</v>
      </c>
      <c r="AB737" s="35">
        <f t="shared" si="496"/>
        <v>0</v>
      </c>
      <c r="AC737" s="35">
        <f t="shared" si="497"/>
        <v>0</v>
      </c>
      <c r="AD737" s="35">
        <f t="shared" si="498"/>
        <v>0</v>
      </c>
      <c r="AE737" s="35">
        <f t="shared" si="499"/>
        <v>0</v>
      </c>
      <c r="AF737" s="35">
        <f t="shared" si="500"/>
        <v>0</v>
      </c>
      <c r="AG737" s="35">
        <f t="shared" si="501"/>
        <v>1140</v>
      </c>
      <c r="AH737" s="35">
        <f t="shared" si="502"/>
        <v>0</v>
      </c>
      <c r="AI737" s="77" t="s">
        <v>72</v>
      </c>
      <c r="AJ737" s="64">
        <f t="shared" si="503"/>
        <v>0</v>
      </c>
      <c r="AK737" s="64">
        <f t="shared" si="504"/>
        <v>0</v>
      </c>
      <c r="AL737" s="64">
        <f t="shared" si="505"/>
        <v>1140</v>
      </c>
      <c r="AN737" s="35">
        <v>21</v>
      </c>
      <c r="AO737" s="35">
        <f t="shared" si="506"/>
        <v>0</v>
      </c>
      <c r="AP737" s="35">
        <f t="shared" si="507"/>
        <v>95</v>
      </c>
      <c r="AQ737" s="78" t="s">
        <v>110</v>
      </c>
      <c r="AV737" s="35">
        <f t="shared" si="508"/>
        <v>1140</v>
      </c>
      <c r="AW737" s="35">
        <f t="shared" si="509"/>
        <v>0</v>
      </c>
      <c r="AX737" s="35">
        <f t="shared" si="510"/>
        <v>1140</v>
      </c>
      <c r="AY737" s="80" t="s">
        <v>1700</v>
      </c>
      <c r="AZ737" s="80" t="s">
        <v>1770</v>
      </c>
      <c r="BA737" s="77" t="s">
        <v>1785</v>
      </c>
      <c r="BC737" s="35">
        <f t="shared" si="511"/>
        <v>1140</v>
      </c>
      <c r="BD737" s="35">
        <f t="shared" si="512"/>
        <v>95</v>
      </c>
      <c r="BE737" s="35">
        <v>0</v>
      </c>
      <c r="BF737" s="35">
        <f>737</f>
        <v>737</v>
      </c>
      <c r="BH737" s="64">
        <f t="shared" si="513"/>
        <v>0</v>
      </c>
      <c r="BI737" s="64">
        <f t="shared" si="514"/>
        <v>1140</v>
      </c>
      <c r="BJ737" s="64">
        <f t="shared" si="515"/>
        <v>1140</v>
      </c>
      <c r="BK737" s="64" t="s">
        <v>1790</v>
      </c>
      <c r="BL737" s="35" t="s">
        <v>161</v>
      </c>
    </row>
    <row r="738" spans="1:64">
      <c r="A738" s="47" t="s">
        <v>704</v>
      </c>
      <c r="B738" s="55" t="s">
        <v>72</v>
      </c>
      <c r="C738" s="55" t="s">
        <v>963</v>
      </c>
      <c r="D738" s="165" t="s">
        <v>1613</v>
      </c>
      <c r="E738" s="166"/>
      <c r="F738" s="166"/>
      <c r="G738" s="55" t="s">
        <v>1631</v>
      </c>
      <c r="H738" s="64">
        <v>4</v>
      </c>
      <c r="I738" s="64">
        <v>1450</v>
      </c>
      <c r="J738" s="64">
        <f t="shared" si="492"/>
        <v>0</v>
      </c>
      <c r="K738" s="64">
        <f t="shared" si="493"/>
        <v>5800</v>
      </c>
      <c r="L738" s="64">
        <f t="shared" si="494"/>
        <v>5800</v>
      </c>
      <c r="M738" s="73"/>
      <c r="N738" s="19"/>
      <c r="Z738" s="35">
        <f t="shared" si="495"/>
        <v>0</v>
      </c>
      <c r="AB738" s="35">
        <f t="shared" si="496"/>
        <v>0</v>
      </c>
      <c r="AC738" s="35">
        <f t="shared" si="497"/>
        <v>5800</v>
      </c>
      <c r="AD738" s="35">
        <f t="shared" si="498"/>
        <v>0</v>
      </c>
      <c r="AE738" s="35">
        <f t="shared" si="499"/>
        <v>0</v>
      </c>
      <c r="AF738" s="35">
        <f t="shared" si="500"/>
        <v>0</v>
      </c>
      <c r="AG738" s="35">
        <f t="shared" si="501"/>
        <v>0</v>
      </c>
      <c r="AH738" s="35">
        <f t="shared" si="502"/>
        <v>0</v>
      </c>
      <c r="AI738" s="77" t="s">
        <v>72</v>
      </c>
      <c r="AJ738" s="64">
        <f t="shared" si="503"/>
        <v>0</v>
      </c>
      <c r="AK738" s="64">
        <f t="shared" si="504"/>
        <v>0</v>
      </c>
      <c r="AL738" s="64">
        <f t="shared" si="505"/>
        <v>5800</v>
      </c>
      <c r="AN738" s="35">
        <v>21</v>
      </c>
      <c r="AO738" s="35">
        <f t="shared" si="506"/>
        <v>0</v>
      </c>
      <c r="AP738" s="35">
        <f t="shared" si="507"/>
        <v>1450</v>
      </c>
      <c r="AQ738" s="78" t="s">
        <v>109</v>
      </c>
      <c r="AV738" s="35">
        <f t="shared" si="508"/>
        <v>5800</v>
      </c>
      <c r="AW738" s="35">
        <f t="shared" si="509"/>
        <v>0</v>
      </c>
      <c r="AX738" s="35">
        <f t="shared" si="510"/>
        <v>5800</v>
      </c>
      <c r="AY738" s="80" t="s">
        <v>1700</v>
      </c>
      <c r="AZ738" s="80" t="s">
        <v>1770</v>
      </c>
      <c r="BA738" s="77" t="s">
        <v>1785</v>
      </c>
      <c r="BC738" s="35">
        <f t="shared" si="511"/>
        <v>5800</v>
      </c>
      <c r="BD738" s="35">
        <f t="shared" si="512"/>
        <v>1450</v>
      </c>
      <c r="BE738" s="35">
        <v>0</v>
      </c>
      <c r="BF738" s="35">
        <f>738</f>
        <v>738</v>
      </c>
      <c r="BH738" s="64">
        <f t="shared" si="513"/>
        <v>0</v>
      </c>
      <c r="BI738" s="64">
        <f t="shared" si="514"/>
        <v>5800</v>
      </c>
      <c r="BJ738" s="64">
        <f t="shared" si="515"/>
        <v>5800</v>
      </c>
      <c r="BK738" s="64" t="s">
        <v>1790</v>
      </c>
      <c r="BL738" s="35" t="s">
        <v>161</v>
      </c>
    </row>
    <row r="739" spans="1:64">
      <c r="A739" s="47" t="s">
        <v>705</v>
      </c>
      <c r="B739" s="55" t="s">
        <v>72</v>
      </c>
      <c r="C739" s="55" t="s">
        <v>963</v>
      </c>
      <c r="D739" s="165" t="s">
        <v>1614</v>
      </c>
      <c r="E739" s="166"/>
      <c r="F739" s="166"/>
      <c r="G739" s="55" t="s">
        <v>1631</v>
      </c>
      <c r="H739" s="64">
        <v>4</v>
      </c>
      <c r="I739" s="64">
        <v>450</v>
      </c>
      <c r="J739" s="64">
        <f t="shared" si="492"/>
        <v>0</v>
      </c>
      <c r="K739" s="64">
        <f t="shared" si="493"/>
        <v>1800</v>
      </c>
      <c r="L739" s="64">
        <f t="shared" si="494"/>
        <v>1800</v>
      </c>
      <c r="M739" s="73"/>
      <c r="N739" s="19"/>
      <c r="Z739" s="35">
        <f t="shared" si="495"/>
        <v>0</v>
      </c>
      <c r="AB739" s="35">
        <f t="shared" si="496"/>
        <v>0</v>
      </c>
      <c r="AC739" s="35">
        <f t="shared" si="497"/>
        <v>1800</v>
      </c>
      <c r="AD739" s="35">
        <f t="shared" si="498"/>
        <v>0</v>
      </c>
      <c r="AE739" s="35">
        <f t="shared" si="499"/>
        <v>0</v>
      </c>
      <c r="AF739" s="35">
        <f t="shared" si="500"/>
        <v>0</v>
      </c>
      <c r="AG739" s="35">
        <f t="shared" si="501"/>
        <v>0</v>
      </c>
      <c r="AH739" s="35">
        <f t="shared" si="502"/>
        <v>0</v>
      </c>
      <c r="AI739" s="77" t="s">
        <v>72</v>
      </c>
      <c r="AJ739" s="64">
        <f t="shared" si="503"/>
        <v>0</v>
      </c>
      <c r="AK739" s="64">
        <f t="shared" si="504"/>
        <v>0</v>
      </c>
      <c r="AL739" s="64">
        <f t="shared" si="505"/>
        <v>1800</v>
      </c>
      <c r="AN739" s="35">
        <v>21</v>
      </c>
      <c r="AO739" s="35">
        <f t="shared" si="506"/>
        <v>0</v>
      </c>
      <c r="AP739" s="35">
        <f t="shared" si="507"/>
        <v>450</v>
      </c>
      <c r="AQ739" s="78" t="s">
        <v>109</v>
      </c>
      <c r="AV739" s="35">
        <f t="shared" si="508"/>
        <v>1800</v>
      </c>
      <c r="AW739" s="35">
        <f t="shared" si="509"/>
        <v>0</v>
      </c>
      <c r="AX739" s="35">
        <f t="shared" si="510"/>
        <v>1800</v>
      </c>
      <c r="AY739" s="80" t="s">
        <v>1700</v>
      </c>
      <c r="AZ739" s="80" t="s">
        <v>1770</v>
      </c>
      <c r="BA739" s="77" t="s">
        <v>1785</v>
      </c>
      <c r="BC739" s="35">
        <f t="shared" si="511"/>
        <v>1800</v>
      </c>
      <c r="BD739" s="35">
        <f t="shared" si="512"/>
        <v>450</v>
      </c>
      <c r="BE739" s="35">
        <v>0</v>
      </c>
      <c r="BF739" s="35">
        <f>739</f>
        <v>739</v>
      </c>
      <c r="BH739" s="64">
        <f t="shared" si="513"/>
        <v>0</v>
      </c>
      <c r="BI739" s="64">
        <f t="shared" si="514"/>
        <v>1800</v>
      </c>
      <c r="BJ739" s="64">
        <f t="shared" si="515"/>
        <v>1800</v>
      </c>
      <c r="BK739" s="64" t="s">
        <v>1790</v>
      </c>
      <c r="BL739" s="35" t="s">
        <v>161</v>
      </c>
    </row>
    <row r="740" spans="1:64">
      <c r="A740" s="47" t="s">
        <v>706</v>
      </c>
      <c r="B740" s="55" t="s">
        <v>72</v>
      </c>
      <c r="C740" s="55" t="s">
        <v>963</v>
      </c>
      <c r="D740" s="165" t="s">
        <v>1615</v>
      </c>
      <c r="E740" s="166"/>
      <c r="F740" s="166"/>
      <c r="G740" s="55" t="s">
        <v>1631</v>
      </c>
      <c r="H740" s="64">
        <v>4</v>
      </c>
      <c r="I740" s="64">
        <v>250</v>
      </c>
      <c r="J740" s="64">
        <f t="shared" si="492"/>
        <v>0</v>
      </c>
      <c r="K740" s="64">
        <f t="shared" si="493"/>
        <v>1000</v>
      </c>
      <c r="L740" s="64">
        <f t="shared" si="494"/>
        <v>1000</v>
      </c>
      <c r="M740" s="73"/>
      <c r="N740" s="19"/>
      <c r="Z740" s="35">
        <f t="shared" si="495"/>
        <v>0</v>
      </c>
      <c r="AB740" s="35">
        <f t="shared" si="496"/>
        <v>0</v>
      </c>
      <c r="AC740" s="35">
        <f t="shared" si="497"/>
        <v>1000</v>
      </c>
      <c r="AD740" s="35">
        <f t="shared" si="498"/>
        <v>0</v>
      </c>
      <c r="AE740" s="35">
        <f t="shared" si="499"/>
        <v>0</v>
      </c>
      <c r="AF740" s="35">
        <f t="shared" si="500"/>
        <v>0</v>
      </c>
      <c r="AG740" s="35">
        <f t="shared" si="501"/>
        <v>0</v>
      </c>
      <c r="AH740" s="35">
        <f t="shared" si="502"/>
        <v>0</v>
      </c>
      <c r="AI740" s="77" t="s">
        <v>72</v>
      </c>
      <c r="AJ740" s="64">
        <f t="shared" si="503"/>
        <v>0</v>
      </c>
      <c r="AK740" s="64">
        <f t="shared" si="504"/>
        <v>0</v>
      </c>
      <c r="AL740" s="64">
        <f t="shared" si="505"/>
        <v>1000</v>
      </c>
      <c r="AN740" s="35">
        <v>21</v>
      </c>
      <c r="AO740" s="35">
        <f t="shared" si="506"/>
        <v>0</v>
      </c>
      <c r="AP740" s="35">
        <f t="shared" si="507"/>
        <v>250</v>
      </c>
      <c r="AQ740" s="78" t="s">
        <v>109</v>
      </c>
      <c r="AV740" s="35">
        <f t="shared" si="508"/>
        <v>1000</v>
      </c>
      <c r="AW740" s="35">
        <f t="shared" si="509"/>
        <v>0</v>
      </c>
      <c r="AX740" s="35">
        <f t="shared" si="510"/>
        <v>1000</v>
      </c>
      <c r="AY740" s="80" t="s">
        <v>1700</v>
      </c>
      <c r="AZ740" s="80" t="s">
        <v>1770</v>
      </c>
      <c r="BA740" s="77" t="s">
        <v>1785</v>
      </c>
      <c r="BC740" s="35">
        <f t="shared" si="511"/>
        <v>1000</v>
      </c>
      <c r="BD740" s="35">
        <f t="shared" si="512"/>
        <v>250</v>
      </c>
      <c r="BE740" s="35">
        <v>0</v>
      </c>
      <c r="BF740" s="35">
        <f>740</f>
        <v>740</v>
      </c>
      <c r="BH740" s="64">
        <f t="shared" si="513"/>
        <v>0</v>
      </c>
      <c r="BI740" s="64">
        <f t="shared" si="514"/>
        <v>1000</v>
      </c>
      <c r="BJ740" s="64">
        <f t="shared" si="515"/>
        <v>1000</v>
      </c>
      <c r="BK740" s="64" t="s">
        <v>1790</v>
      </c>
      <c r="BL740" s="35" t="s">
        <v>161</v>
      </c>
    </row>
    <row r="741" spans="1:64">
      <c r="A741" s="47" t="s">
        <v>707</v>
      </c>
      <c r="B741" s="55" t="s">
        <v>72</v>
      </c>
      <c r="C741" s="55" t="s">
        <v>963</v>
      </c>
      <c r="D741" s="165" t="s">
        <v>1477</v>
      </c>
      <c r="E741" s="166"/>
      <c r="F741" s="166"/>
      <c r="G741" s="55" t="s">
        <v>1647</v>
      </c>
      <c r="H741" s="64">
        <v>4</v>
      </c>
      <c r="I741" s="64">
        <v>350</v>
      </c>
      <c r="J741" s="64">
        <f t="shared" si="492"/>
        <v>0</v>
      </c>
      <c r="K741" s="64">
        <f t="shared" si="493"/>
        <v>1400</v>
      </c>
      <c r="L741" s="64">
        <f t="shared" si="494"/>
        <v>1400</v>
      </c>
      <c r="M741" s="73"/>
      <c r="N741" s="19"/>
      <c r="Z741" s="35">
        <f t="shared" si="495"/>
        <v>0</v>
      </c>
      <c r="AB741" s="35">
        <f t="shared" si="496"/>
        <v>0</v>
      </c>
      <c r="AC741" s="35">
        <f t="shared" si="497"/>
        <v>1400</v>
      </c>
      <c r="AD741" s="35">
        <f t="shared" si="498"/>
        <v>0</v>
      </c>
      <c r="AE741" s="35">
        <f t="shared" si="499"/>
        <v>0</v>
      </c>
      <c r="AF741" s="35">
        <f t="shared" si="500"/>
        <v>0</v>
      </c>
      <c r="AG741" s="35">
        <f t="shared" si="501"/>
        <v>0</v>
      </c>
      <c r="AH741" s="35">
        <f t="shared" si="502"/>
        <v>0</v>
      </c>
      <c r="AI741" s="77" t="s">
        <v>72</v>
      </c>
      <c r="AJ741" s="64">
        <f t="shared" si="503"/>
        <v>0</v>
      </c>
      <c r="AK741" s="64">
        <f t="shared" si="504"/>
        <v>0</v>
      </c>
      <c r="AL741" s="64">
        <f t="shared" si="505"/>
        <v>1400</v>
      </c>
      <c r="AN741" s="35">
        <v>21</v>
      </c>
      <c r="AO741" s="35">
        <f t="shared" si="506"/>
        <v>0</v>
      </c>
      <c r="AP741" s="35">
        <f t="shared" si="507"/>
        <v>350</v>
      </c>
      <c r="AQ741" s="78" t="s">
        <v>109</v>
      </c>
      <c r="AV741" s="35">
        <f t="shared" si="508"/>
        <v>1400</v>
      </c>
      <c r="AW741" s="35">
        <f t="shared" si="509"/>
        <v>0</v>
      </c>
      <c r="AX741" s="35">
        <f t="shared" si="510"/>
        <v>1400</v>
      </c>
      <c r="AY741" s="80" t="s">
        <v>1700</v>
      </c>
      <c r="AZ741" s="80" t="s">
        <v>1770</v>
      </c>
      <c r="BA741" s="77" t="s">
        <v>1785</v>
      </c>
      <c r="BC741" s="35">
        <f t="shared" si="511"/>
        <v>1400</v>
      </c>
      <c r="BD741" s="35">
        <f t="shared" si="512"/>
        <v>350</v>
      </c>
      <c r="BE741" s="35">
        <v>0</v>
      </c>
      <c r="BF741" s="35">
        <f>741</f>
        <v>741</v>
      </c>
      <c r="BH741" s="64">
        <f t="shared" si="513"/>
        <v>0</v>
      </c>
      <c r="BI741" s="64">
        <f t="shared" si="514"/>
        <v>1400</v>
      </c>
      <c r="BJ741" s="64">
        <f t="shared" si="515"/>
        <v>1400</v>
      </c>
      <c r="BK741" s="64" t="s">
        <v>1790</v>
      </c>
      <c r="BL741" s="35" t="s">
        <v>161</v>
      </c>
    </row>
    <row r="742" spans="1:64">
      <c r="A742" s="47" t="s">
        <v>708</v>
      </c>
      <c r="B742" s="55" t="s">
        <v>72</v>
      </c>
      <c r="C742" s="55" t="s">
        <v>963</v>
      </c>
      <c r="D742" s="165" t="s">
        <v>1478</v>
      </c>
      <c r="E742" s="166"/>
      <c r="F742" s="166"/>
      <c r="G742" s="55" t="s">
        <v>1647</v>
      </c>
      <c r="H742" s="64">
        <v>4</v>
      </c>
      <c r="I742" s="64">
        <v>350</v>
      </c>
      <c r="J742" s="64">
        <f t="shared" si="492"/>
        <v>0</v>
      </c>
      <c r="K742" s="64">
        <f t="shared" si="493"/>
        <v>1400</v>
      </c>
      <c r="L742" s="64">
        <f t="shared" si="494"/>
        <v>1400</v>
      </c>
      <c r="M742" s="73"/>
      <c r="N742" s="19"/>
      <c r="Z742" s="35">
        <f t="shared" si="495"/>
        <v>0</v>
      </c>
      <c r="AB742" s="35">
        <f t="shared" si="496"/>
        <v>0</v>
      </c>
      <c r="AC742" s="35">
        <f t="shared" si="497"/>
        <v>1400</v>
      </c>
      <c r="AD742" s="35">
        <f t="shared" si="498"/>
        <v>0</v>
      </c>
      <c r="AE742" s="35">
        <f t="shared" si="499"/>
        <v>0</v>
      </c>
      <c r="AF742" s="35">
        <f t="shared" si="500"/>
        <v>0</v>
      </c>
      <c r="AG742" s="35">
        <f t="shared" si="501"/>
        <v>0</v>
      </c>
      <c r="AH742" s="35">
        <f t="shared" si="502"/>
        <v>0</v>
      </c>
      <c r="AI742" s="77" t="s">
        <v>72</v>
      </c>
      <c r="AJ742" s="64">
        <f t="shared" si="503"/>
        <v>0</v>
      </c>
      <c r="AK742" s="64">
        <f t="shared" si="504"/>
        <v>0</v>
      </c>
      <c r="AL742" s="64">
        <f t="shared" si="505"/>
        <v>1400</v>
      </c>
      <c r="AN742" s="35">
        <v>21</v>
      </c>
      <c r="AO742" s="35">
        <f t="shared" si="506"/>
        <v>0</v>
      </c>
      <c r="AP742" s="35">
        <f t="shared" si="507"/>
        <v>350</v>
      </c>
      <c r="AQ742" s="78" t="s">
        <v>109</v>
      </c>
      <c r="AV742" s="35">
        <f t="shared" si="508"/>
        <v>1400</v>
      </c>
      <c r="AW742" s="35">
        <f t="shared" si="509"/>
        <v>0</v>
      </c>
      <c r="AX742" s="35">
        <f t="shared" si="510"/>
        <v>1400</v>
      </c>
      <c r="AY742" s="80" t="s">
        <v>1700</v>
      </c>
      <c r="AZ742" s="80" t="s">
        <v>1770</v>
      </c>
      <c r="BA742" s="77" t="s">
        <v>1785</v>
      </c>
      <c r="BC742" s="35">
        <f t="shared" si="511"/>
        <v>1400</v>
      </c>
      <c r="BD742" s="35">
        <f t="shared" si="512"/>
        <v>350</v>
      </c>
      <c r="BE742" s="35">
        <v>0</v>
      </c>
      <c r="BF742" s="35">
        <f>742</f>
        <v>742</v>
      </c>
      <c r="BH742" s="64">
        <f t="shared" si="513"/>
        <v>0</v>
      </c>
      <c r="BI742" s="64">
        <f t="shared" si="514"/>
        <v>1400</v>
      </c>
      <c r="BJ742" s="64">
        <f t="shared" si="515"/>
        <v>1400</v>
      </c>
      <c r="BK742" s="64" t="s">
        <v>1790</v>
      </c>
      <c r="BL742" s="35" t="s">
        <v>161</v>
      </c>
    </row>
    <row r="743" spans="1:64">
      <c r="A743" s="47" t="s">
        <v>709</v>
      </c>
      <c r="B743" s="55" t="s">
        <v>72</v>
      </c>
      <c r="C743" s="55" t="s">
        <v>963</v>
      </c>
      <c r="D743" s="165" t="s">
        <v>1453</v>
      </c>
      <c r="E743" s="166"/>
      <c r="F743" s="166"/>
      <c r="G743" s="55" t="s">
        <v>1647</v>
      </c>
      <c r="H743" s="64">
        <v>4</v>
      </c>
      <c r="I743" s="64">
        <v>350</v>
      </c>
      <c r="J743" s="64">
        <f t="shared" si="492"/>
        <v>0</v>
      </c>
      <c r="K743" s="64">
        <f t="shared" si="493"/>
        <v>1400</v>
      </c>
      <c r="L743" s="64">
        <f t="shared" si="494"/>
        <v>1400</v>
      </c>
      <c r="M743" s="73"/>
      <c r="N743" s="19"/>
      <c r="Z743" s="35">
        <f t="shared" si="495"/>
        <v>0</v>
      </c>
      <c r="AB743" s="35">
        <f t="shared" si="496"/>
        <v>0</v>
      </c>
      <c r="AC743" s="35">
        <f t="shared" si="497"/>
        <v>1400</v>
      </c>
      <c r="AD743" s="35">
        <f t="shared" si="498"/>
        <v>0</v>
      </c>
      <c r="AE743" s="35">
        <f t="shared" si="499"/>
        <v>0</v>
      </c>
      <c r="AF743" s="35">
        <f t="shared" si="500"/>
        <v>0</v>
      </c>
      <c r="AG743" s="35">
        <f t="shared" si="501"/>
        <v>0</v>
      </c>
      <c r="AH743" s="35">
        <f t="shared" si="502"/>
        <v>0</v>
      </c>
      <c r="AI743" s="77" t="s">
        <v>72</v>
      </c>
      <c r="AJ743" s="64">
        <f t="shared" si="503"/>
        <v>0</v>
      </c>
      <c r="AK743" s="64">
        <f t="shared" si="504"/>
        <v>0</v>
      </c>
      <c r="AL743" s="64">
        <f t="shared" si="505"/>
        <v>1400</v>
      </c>
      <c r="AN743" s="35">
        <v>21</v>
      </c>
      <c r="AO743" s="35">
        <f t="shared" si="506"/>
        <v>0</v>
      </c>
      <c r="AP743" s="35">
        <f t="shared" si="507"/>
        <v>350</v>
      </c>
      <c r="AQ743" s="78" t="s">
        <v>109</v>
      </c>
      <c r="AV743" s="35">
        <f t="shared" si="508"/>
        <v>1400</v>
      </c>
      <c r="AW743" s="35">
        <f t="shared" si="509"/>
        <v>0</v>
      </c>
      <c r="AX743" s="35">
        <f t="shared" si="510"/>
        <v>1400</v>
      </c>
      <c r="AY743" s="80" t="s">
        <v>1700</v>
      </c>
      <c r="AZ743" s="80" t="s">
        <v>1770</v>
      </c>
      <c r="BA743" s="77" t="s">
        <v>1785</v>
      </c>
      <c r="BC743" s="35">
        <f t="shared" si="511"/>
        <v>1400</v>
      </c>
      <c r="BD743" s="35">
        <f t="shared" si="512"/>
        <v>350</v>
      </c>
      <c r="BE743" s="35">
        <v>0</v>
      </c>
      <c r="BF743" s="35">
        <f>743</f>
        <v>743</v>
      </c>
      <c r="BH743" s="64">
        <f t="shared" si="513"/>
        <v>0</v>
      </c>
      <c r="BI743" s="64">
        <f t="shared" si="514"/>
        <v>1400</v>
      </c>
      <c r="BJ743" s="64">
        <f t="shared" si="515"/>
        <v>1400</v>
      </c>
      <c r="BK743" s="64" t="s">
        <v>1790</v>
      </c>
      <c r="BL743" s="35" t="s">
        <v>161</v>
      </c>
    </row>
    <row r="744" spans="1:64">
      <c r="A744" s="47" t="s">
        <v>710</v>
      </c>
      <c r="B744" s="55" t="s">
        <v>72</v>
      </c>
      <c r="C744" s="55" t="s">
        <v>964</v>
      </c>
      <c r="D744" s="165" t="s">
        <v>1428</v>
      </c>
      <c r="E744" s="166"/>
      <c r="F744" s="166"/>
      <c r="G744" s="55" t="s">
        <v>1647</v>
      </c>
      <c r="H744" s="64">
        <v>4</v>
      </c>
      <c r="I744" s="64">
        <v>450</v>
      </c>
      <c r="J744" s="64">
        <f t="shared" si="492"/>
        <v>0</v>
      </c>
      <c r="K744" s="64">
        <f t="shared" si="493"/>
        <v>1800</v>
      </c>
      <c r="L744" s="64">
        <f t="shared" si="494"/>
        <v>1800</v>
      </c>
      <c r="M744" s="73"/>
      <c r="N744" s="19"/>
      <c r="Z744" s="35">
        <f t="shared" si="495"/>
        <v>0</v>
      </c>
      <c r="AB744" s="35">
        <f t="shared" si="496"/>
        <v>0</v>
      </c>
      <c r="AC744" s="35">
        <f t="shared" si="497"/>
        <v>0</v>
      </c>
      <c r="AD744" s="35">
        <f t="shared" si="498"/>
        <v>0</v>
      </c>
      <c r="AE744" s="35">
        <f t="shared" si="499"/>
        <v>0</v>
      </c>
      <c r="AF744" s="35">
        <f t="shared" si="500"/>
        <v>0</v>
      </c>
      <c r="AG744" s="35">
        <f t="shared" si="501"/>
        <v>1800</v>
      </c>
      <c r="AH744" s="35">
        <f t="shared" si="502"/>
        <v>0</v>
      </c>
      <c r="AI744" s="77" t="s">
        <v>72</v>
      </c>
      <c r="AJ744" s="64">
        <f t="shared" si="503"/>
        <v>0</v>
      </c>
      <c r="AK744" s="64">
        <f t="shared" si="504"/>
        <v>0</v>
      </c>
      <c r="AL744" s="64">
        <f t="shared" si="505"/>
        <v>1800</v>
      </c>
      <c r="AN744" s="35">
        <v>21</v>
      </c>
      <c r="AO744" s="35">
        <f t="shared" si="506"/>
        <v>0</v>
      </c>
      <c r="AP744" s="35">
        <f t="shared" si="507"/>
        <v>450</v>
      </c>
      <c r="AQ744" s="78" t="s">
        <v>110</v>
      </c>
      <c r="AV744" s="35">
        <f t="shared" si="508"/>
        <v>1800</v>
      </c>
      <c r="AW744" s="35">
        <f t="shared" si="509"/>
        <v>0</v>
      </c>
      <c r="AX744" s="35">
        <f t="shared" si="510"/>
        <v>1800</v>
      </c>
      <c r="AY744" s="80" t="s">
        <v>1700</v>
      </c>
      <c r="AZ744" s="80" t="s">
        <v>1770</v>
      </c>
      <c r="BA744" s="77" t="s">
        <v>1785</v>
      </c>
      <c r="BC744" s="35">
        <f t="shared" si="511"/>
        <v>1800</v>
      </c>
      <c r="BD744" s="35">
        <f t="shared" si="512"/>
        <v>450</v>
      </c>
      <c r="BE744" s="35">
        <v>0</v>
      </c>
      <c r="BF744" s="35">
        <f>744</f>
        <v>744</v>
      </c>
      <c r="BH744" s="64">
        <f t="shared" si="513"/>
        <v>0</v>
      </c>
      <c r="BI744" s="64">
        <f t="shared" si="514"/>
        <v>1800</v>
      </c>
      <c r="BJ744" s="64">
        <f t="shared" si="515"/>
        <v>1800</v>
      </c>
      <c r="BK744" s="64" t="s">
        <v>1790</v>
      </c>
      <c r="BL744" s="35" t="s">
        <v>161</v>
      </c>
    </row>
    <row r="745" spans="1:64">
      <c r="A745" s="47" t="s">
        <v>711</v>
      </c>
      <c r="B745" s="55" t="s">
        <v>72</v>
      </c>
      <c r="C745" s="55" t="s">
        <v>963</v>
      </c>
      <c r="D745" s="165" t="s">
        <v>1429</v>
      </c>
      <c r="E745" s="166"/>
      <c r="F745" s="166"/>
      <c r="G745" s="55" t="s">
        <v>1647</v>
      </c>
      <c r="H745" s="64">
        <v>4</v>
      </c>
      <c r="I745" s="64">
        <v>285</v>
      </c>
      <c r="J745" s="64">
        <f t="shared" si="492"/>
        <v>0</v>
      </c>
      <c r="K745" s="64">
        <f t="shared" si="493"/>
        <v>1140</v>
      </c>
      <c r="L745" s="64">
        <f t="shared" si="494"/>
        <v>1140</v>
      </c>
      <c r="M745" s="73"/>
      <c r="N745" s="19"/>
      <c r="Z745" s="35">
        <f t="shared" si="495"/>
        <v>0</v>
      </c>
      <c r="AB745" s="35">
        <f t="shared" si="496"/>
        <v>0</v>
      </c>
      <c r="AC745" s="35">
        <f t="shared" si="497"/>
        <v>1140</v>
      </c>
      <c r="AD745" s="35">
        <f t="shared" si="498"/>
        <v>0</v>
      </c>
      <c r="AE745" s="35">
        <f t="shared" si="499"/>
        <v>0</v>
      </c>
      <c r="AF745" s="35">
        <f t="shared" si="500"/>
        <v>0</v>
      </c>
      <c r="AG745" s="35">
        <f t="shared" si="501"/>
        <v>0</v>
      </c>
      <c r="AH745" s="35">
        <f t="shared" si="502"/>
        <v>0</v>
      </c>
      <c r="AI745" s="77" t="s">
        <v>72</v>
      </c>
      <c r="AJ745" s="64">
        <f t="shared" si="503"/>
        <v>0</v>
      </c>
      <c r="AK745" s="64">
        <f t="shared" si="504"/>
        <v>0</v>
      </c>
      <c r="AL745" s="64">
        <f t="shared" si="505"/>
        <v>1140</v>
      </c>
      <c r="AN745" s="35">
        <v>21</v>
      </c>
      <c r="AO745" s="35">
        <f t="shared" si="506"/>
        <v>0</v>
      </c>
      <c r="AP745" s="35">
        <f t="shared" si="507"/>
        <v>285</v>
      </c>
      <c r="AQ745" s="78" t="s">
        <v>109</v>
      </c>
      <c r="AV745" s="35">
        <f t="shared" si="508"/>
        <v>1140</v>
      </c>
      <c r="AW745" s="35">
        <f t="shared" si="509"/>
        <v>0</v>
      </c>
      <c r="AX745" s="35">
        <f t="shared" si="510"/>
        <v>1140</v>
      </c>
      <c r="AY745" s="80" t="s">
        <v>1700</v>
      </c>
      <c r="AZ745" s="80" t="s">
        <v>1770</v>
      </c>
      <c r="BA745" s="77" t="s">
        <v>1785</v>
      </c>
      <c r="BC745" s="35">
        <f t="shared" si="511"/>
        <v>1140</v>
      </c>
      <c r="BD745" s="35">
        <f t="shared" si="512"/>
        <v>285</v>
      </c>
      <c r="BE745" s="35">
        <v>0</v>
      </c>
      <c r="BF745" s="35">
        <f>745</f>
        <v>745</v>
      </c>
      <c r="BH745" s="64">
        <f t="shared" si="513"/>
        <v>0</v>
      </c>
      <c r="BI745" s="64">
        <f t="shared" si="514"/>
        <v>1140</v>
      </c>
      <c r="BJ745" s="64">
        <f t="shared" si="515"/>
        <v>1140</v>
      </c>
      <c r="BK745" s="64" t="s">
        <v>1790</v>
      </c>
      <c r="BL745" s="35" t="s">
        <v>161</v>
      </c>
    </row>
    <row r="746" spans="1:64">
      <c r="A746" s="48" t="s">
        <v>712</v>
      </c>
      <c r="B746" s="56" t="s">
        <v>72</v>
      </c>
      <c r="C746" s="56" t="s">
        <v>979</v>
      </c>
      <c r="D746" s="170" t="s">
        <v>1454</v>
      </c>
      <c r="E746" s="171"/>
      <c r="F746" s="171"/>
      <c r="G746" s="56" t="s">
        <v>1633</v>
      </c>
      <c r="H746" s="65">
        <v>220</v>
      </c>
      <c r="I746" s="65">
        <v>15.4</v>
      </c>
      <c r="J746" s="65">
        <f t="shared" si="492"/>
        <v>3388</v>
      </c>
      <c r="K746" s="65">
        <f t="shared" si="493"/>
        <v>0</v>
      </c>
      <c r="L746" s="65">
        <f t="shared" si="494"/>
        <v>3388</v>
      </c>
      <c r="M746" s="74"/>
      <c r="N746" s="19"/>
      <c r="Z746" s="35">
        <f t="shared" si="495"/>
        <v>0</v>
      </c>
      <c r="AB746" s="35">
        <f t="shared" si="496"/>
        <v>3388</v>
      </c>
      <c r="AC746" s="35">
        <f t="shared" si="497"/>
        <v>0</v>
      </c>
      <c r="AD746" s="35">
        <f t="shared" si="498"/>
        <v>0</v>
      </c>
      <c r="AE746" s="35">
        <f t="shared" si="499"/>
        <v>0</v>
      </c>
      <c r="AF746" s="35">
        <f t="shared" si="500"/>
        <v>0</v>
      </c>
      <c r="AG746" s="35">
        <f t="shared" si="501"/>
        <v>0</v>
      </c>
      <c r="AH746" s="35">
        <f t="shared" si="502"/>
        <v>0</v>
      </c>
      <c r="AI746" s="77" t="s">
        <v>72</v>
      </c>
      <c r="AJ746" s="65">
        <f t="shared" si="503"/>
        <v>0</v>
      </c>
      <c r="AK746" s="65">
        <f t="shared" si="504"/>
        <v>0</v>
      </c>
      <c r="AL746" s="65">
        <f t="shared" si="505"/>
        <v>3388</v>
      </c>
      <c r="AN746" s="35">
        <v>21</v>
      </c>
      <c r="AO746" s="35">
        <f>I746*1</f>
        <v>15.4</v>
      </c>
      <c r="AP746" s="35">
        <f>I746*(1-1)</f>
        <v>0</v>
      </c>
      <c r="AQ746" s="79" t="s">
        <v>109</v>
      </c>
      <c r="AV746" s="35">
        <f t="shared" si="508"/>
        <v>3388</v>
      </c>
      <c r="AW746" s="35">
        <f t="shared" si="509"/>
        <v>3388</v>
      </c>
      <c r="AX746" s="35">
        <f t="shared" si="510"/>
        <v>0</v>
      </c>
      <c r="AY746" s="80" t="s">
        <v>1700</v>
      </c>
      <c r="AZ746" s="80" t="s">
        <v>1770</v>
      </c>
      <c r="BA746" s="77" t="s">
        <v>1785</v>
      </c>
      <c r="BC746" s="35">
        <f t="shared" si="511"/>
        <v>3388</v>
      </c>
      <c r="BD746" s="35">
        <f t="shared" si="512"/>
        <v>15.4</v>
      </c>
      <c r="BE746" s="35">
        <v>0</v>
      </c>
      <c r="BF746" s="35">
        <f>746</f>
        <v>746</v>
      </c>
      <c r="BH746" s="65">
        <f t="shared" si="513"/>
        <v>3388</v>
      </c>
      <c r="BI746" s="65">
        <f t="shared" si="514"/>
        <v>0</v>
      </c>
      <c r="BJ746" s="65">
        <f t="shared" si="515"/>
        <v>3388</v>
      </c>
      <c r="BK746" s="65" t="s">
        <v>1642</v>
      </c>
      <c r="BL746" s="35" t="s">
        <v>161</v>
      </c>
    </row>
    <row r="747" spans="1:64">
      <c r="A747" s="48" t="s">
        <v>713</v>
      </c>
      <c r="B747" s="56" t="s">
        <v>72</v>
      </c>
      <c r="C747" s="56" t="s">
        <v>980</v>
      </c>
      <c r="D747" s="170" t="s">
        <v>1456</v>
      </c>
      <c r="E747" s="171"/>
      <c r="F747" s="171"/>
      <c r="G747" s="56" t="s">
        <v>1631</v>
      </c>
      <c r="H747" s="65">
        <v>10</v>
      </c>
      <c r="I747" s="65">
        <v>165.4</v>
      </c>
      <c r="J747" s="65">
        <f t="shared" si="492"/>
        <v>1654</v>
      </c>
      <c r="K747" s="65">
        <f t="shared" si="493"/>
        <v>0</v>
      </c>
      <c r="L747" s="65">
        <f t="shared" si="494"/>
        <v>1654</v>
      </c>
      <c r="M747" s="74"/>
      <c r="N747" s="19"/>
      <c r="Z747" s="35">
        <f t="shared" si="495"/>
        <v>0</v>
      </c>
      <c r="AB747" s="35">
        <f t="shared" si="496"/>
        <v>1654</v>
      </c>
      <c r="AC747" s="35">
        <f t="shared" si="497"/>
        <v>0</v>
      </c>
      <c r="AD747" s="35">
        <f t="shared" si="498"/>
        <v>0</v>
      </c>
      <c r="AE747" s="35">
        <f t="shared" si="499"/>
        <v>0</v>
      </c>
      <c r="AF747" s="35">
        <f t="shared" si="500"/>
        <v>0</v>
      </c>
      <c r="AG747" s="35">
        <f t="shared" si="501"/>
        <v>0</v>
      </c>
      <c r="AH747" s="35">
        <f t="shared" si="502"/>
        <v>0</v>
      </c>
      <c r="AI747" s="77" t="s">
        <v>72</v>
      </c>
      <c r="AJ747" s="65">
        <f t="shared" si="503"/>
        <v>0</v>
      </c>
      <c r="AK747" s="65">
        <f t="shared" si="504"/>
        <v>0</v>
      </c>
      <c r="AL747" s="65">
        <f t="shared" si="505"/>
        <v>1654</v>
      </c>
      <c r="AN747" s="35">
        <v>21</v>
      </c>
      <c r="AO747" s="35">
        <f>I747*1</f>
        <v>165.4</v>
      </c>
      <c r="AP747" s="35">
        <f>I747*(1-1)</f>
        <v>0</v>
      </c>
      <c r="AQ747" s="79" t="s">
        <v>109</v>
      </c>
      <c r="AV747" s="35">
        <f t="shared" si="508"/>
        <v>1654</v>
      </c>
      <c r="AW747" s="35">
        <f t="shared" si="509"/>
        <v>1654</v>
      </c>
      <c r="AX747" s="35">
        <f t="shared" si="510"/>
        <v>0</v>
      </c>
      <c r="AY747" s="80" t="s">
        <v>1700</v>
      </c>
      <c r="AZ747" s="80" t="s">
        <v>1770</v>
      </c>
      <c r="BA747" s="77" t="s">
        <v>1785</v>
      </c>
      <c r="BC747" s="35">
        <f t="shared" si="511"/>
        <v>1654</v>
      </c>
      <c r="BD747" s="35">
        <f t="shared" si="512"/>
        <v>165.4</v>
      </c>
      <c r="BE747" s="35">
        <v>0</v>
      </c>
      <c r="BF747" s="35">
        <f>747</f>
        <v>747</v>
      </c>
      <c r="BH747" s="65">
        <f t="shared" si="513"/>
        <v>1654</v>
      </c>
      <c r="BI747" s="65">
        <f t="shared" si="514"/>
        <v>0</v>
      </c>
      <c r="BJ747" s="65">
        <f t="shared" si="515"/>
        <v>1654</v>
      </c>
      <c r="BK747" s="65" t="s">
        <v>1642</v>
      </c>
      <c r="BL747" s="35" t="s">
        <v>161</v>
      </c>
    </row>
    <row r="748" spans="1:64">
      <c r="A748" s="48" t="s">
        <v>714</v>
      </c>
      <c r="B748" s="56" t="s">
        <v>72</v>
      </c>
      <c r="C748" s="56" t="s">
        <v>981</v>
      </c>
      <c r="D748" s="170" t="s">
        <v>1457</v>
      </c>
      <c r="E748" s="171"/>
      <c r="F748" s="171"/>
      <c r="G748" s="56" t="s">
        <v>1633</v>
      </c>
      <c r="H748" s="65">
        <v>80</v>
      </c>
      <c r="I748" s="65">
        <v>13</v>
      </c>
      <c r="J748" s="65">
        <f t="shared" si="492"/>
        <v>1040</v>
      </c>
      <c r="K748" s="65">
        <f t="shared" si="493"/>
        <v>0</v>
      </c>
      <c r="L748" s="65">
        <f t="shared" si="494"/>
        <v>1040</v>
      </c>
      <c r="M748" s="74"/>
      <c r="N748" s="19"/>
      <c r="Z748" s="35">
        <f t="shared" si="495"/>
        <v>0</v>
      </c>
      <c r="AB748" s="35">
        <f t="shared" si="496"/>
        <v>1040</v>
      </c>
      <c r="AC748" s="35">
        <f t="shared" si="497"/>
        <v>0</v>
      </c>
      <c r="AD748" s="35">
        <f t="shared" si="498"/>
        <v>0</v>
      </c>
      <c r="AE748" s="35">
        <f t="shared" si="499"/>
        <v>0</v>
      </c>
      <c r="AF748" s="35">
        <f t="shared" si="500"/>
        <v>0</v>
      </c>
      <c r="AG748" s="35">
        <f t="shared" si="501"/>
        <v>0</v>
      </c>
      <c r="AH748" s="35">
        <f t="shared" si="502"/>
        <v>0</v>
      </c>
      <c r="AI748" s="77" t="s">
        <v>72</v>
      </c>
      <c r="AJ748" s="65">
        <f t="shared" si="503"/>
        <v>0</v>
      </c>
      <c r="AK748" s="65">
        <f t="shared" si="504"/>
        <v>0</v>
      </c>
      <c r="AL748" s="65">
        <f t="shared" si="505"/>
        <v>1040</v>
      </c>
      <c r="AN748" s="35">
        <v>21</v>
      </c>
      <c r="AO748" s="35">
        <f>I748*1</f>
        <v>13</v>
      </c>
      <c r="AP748" s="35">
        <f>I748*(1-1)</f>
        <v>0</v>
      </c>
      <c r="AQ748" s="79" t="s">
        <v>109</v>
      </c>
      <c r="AV748" s="35">
        <f t="shared" si="508"/>
        <v>1040</v>
      </c>
      <c r="AW748" s="35">
        <f t="shared" si="509"/>
        <v>1040</v>
      </c>
      <c r="AX748" s="35">
        <f t="shared" si="510"/>
        <v>0</v>
      </c>
      <c r="AY748" s="80" t="s">
        <v>1700</v>
      </c>
      <c r="AZ748" s="80" t="s">
        <v>1770</v>
      </c>
      <c r="BA748" s="77" t="s">
        <v>1785</v>
      </c>
      <c r="BC748" s="35">
        <f t="shared" si="511"/>
        <v>1040</v>
      </c>
      <c r="BD748" s="35">
        <f t="shared" si="512"/>
        <v>13</v>
      </c>
      <c r="BE748" s="35">
        <v>0</v>
      </c>
      <c r="BF748" s="35">
        <f>748</f>
        <v>748</v>
      </c>
      <c r="BH748" s="65">
        <f t="shared" si="513"/>
        <v>1040</v>
      </c>
      <c r="BI748" s="65">
        <f t="shared" si="514"/>
        <v>0</v>
      </c>
      <c r="BJ748" s="65">
        <f t="shared" si="515"/>
        <v>1040</v>
      </c>
      <c r="BK748" s="65" t="s">
        <v>1642</v>
      </c>
      <c r="BL748" s="35" t="s">
        <v>161</v>
      </c>
    </row>
    <row r="749" spans="1:64">
      <c r="A749" s="47" t="s">
        <v>715</v>
      </c>
      <c r="B749" s="55" t="s">
        <v>72</v>
      </c>
      <c r="C749" s="55" t="s">
        <v>963</v>
      </c>
      <c r="D749" s="165" t="s">
        <v>1483</v>
      </c>
      <c r="E749" s="166"/>
      <c r="F749" s="166"/>
      <c r="G749" s="55" t="s">
        <v>1633</v>
      </c>
      <c r="H749" s="64">
        <v>240</v>
      </c>
      <c r="I749" s="64">
        <v>7.5</v>
      </c>
      <c r="J749" s="64">
        <f t="shared" si="492"/>
        <v>1800</v>
      </c>
      <c r="K749" s="64">
        <f t="shared" si="493"/>
        <v>0</v>
      </c>
      <c r="L749" s="64">
        <f t="shared" si="494"/>
        <v>1800</v>
      </c>
      <c r="M749" s="73"/>
      <c r="N749" s="19"/>
      <c r="Z749" s="35">
        <f t="shared" si="495"/>
        <v>0</v>
      </c>
      <c r="AB749" s="35">
        <f t="shared" si="496"/>
        <v>1800</v>
      </c>
      <c r="AC749" s="35">
        <f t="shared" si="497"/>
        <v>0</v>
      </c>
      <c r="AD749" s="35">
        <f t="shared" si="498"/>
        <v>0</v>
      </c>
      <c r="AE749" s="35">
        <f t="shared" si="499"/>
        <v>0</v>
      </c>
      <c r="AF749" s="35">
        <f t="shared" si="500"/>
        <v>0</v>
      </c>
      <c r="AG749" s="35">
        <f t="shared" si="501"/>
        <v>0</v>
      </c>
      <c r="AH749" s="35">
        <f t="shared" si="502"/>
        <v>0</v>
      </c>
      <c r="AI749" s="77" t="s">
        <v>72</v>
      </c>
      <c r="AJ749" s="64">
        <f t="shared" si="503"/>
        <v>0</v>
      </c>
      <c r="AK749" s="64">
        <f t="shared" si="504"/>
        <v>0</v>
      </c>
      <c r="AL749" s="64">
        <f t="shared" si="505"/>
        <v>1800</v>
      </c>
      <c r="AN749" s="35">
        <v>21</v>
      </c>
      <c r="AO749" s="35">
        <f>I749*1</f>
        <v>7.5</v>
      </c>
      <c r="AP749" s="35">
        <f>I749*(1-1)</f>
        <v>0</v>
      </c>
      <c r="AQ749" s="78" t="s">
        <v>109</v>
      </c>
      <c r="AV749" s="35">
        <f t="shared" si="508"/>
        <v>1800</v>
      </c>
      <c r="AW749" s="35">
        <f t="shared" si="509"/>
        <v>1800</v>
      </c>
      <c r="AX749" s="35">
        <f t="shared" si="510"/>
        <v>0</v>
      </c>
      <c r="AY749" s="80" t="s">
        <v>1700</v>
      </c>
      <c r="AZ749" s="80" t="s">
        <v>1770</v>
      </c>
      <c r="BA749" s="77" t="s">
        <v>1785</v>
      </c>
      <c r="BC749" s="35">
        <f t="shared" si="511"/>
        <v>1800</v>
      </c>
      <c r="BD749" s="35">
        <f t="shared" si="512"/>
        <v>7.5</v>
      </c>
      <c r="BE749" s="35">
        <v>0</v>
      </c>
      <c r="BF749" s="35">
        <f>749</f>
        <v>749</v>
      </c>
      <c r="BH749" s="64">
        <f t="shared" si="513"/>
        <v>1800</v>
      </c>
      <c r="BI749" s="64">
        <f t="shared" si="514"/>
        <v>0</v>
      </c>
      <c r="BJ749" s="64">
        <f t="shared" si="515"/>
        <v>1800</v>
      </c>
      <c r="BK749" s="64" t="s">
        <v>1790</v>
      </c>
      <c r="BL749" s="35" t="s">
        <v>161</v>
      </c>
    </row>
    <row r="750" spans="1:64">
      <c r="A750" s="47" t="s">
        <v>716</v>
      </c>
      <c r="B750" s="55" t="s">
        <v>72</v>
      </c>
      <c r="C750" s="55" t="s">
        <v>963</v>
      </c>
      <c r="D750" s="165" t="s">
        <v>1616</v>
      </c>
      <c r="E750" s="166"/>
      <c r="F750" s="166"/>
      <c r="G750" s="55" t="s">
        <v>1636</v>
      </c>
      <c r="H750" s="64">
        <v>4</v>
      </c>
      <c r="I750" s="64">
        <v>12450</v>
      </c>
      <c r="J750" s="64">
        <f t="shared" si="492"/>
        <v>49800</v>
      </c>
      <c r="K750" s="64">
        <f t="shared" si="493"/>
        <v>0</v>
      </c>
      <c r="L750" s="64">
        <f t="shared" si="494"/>
        <v>49800</v>
      </c>
      <c r="M750" s="73"/>
      <c r="N750" s="19"/>
      <c r="Z750" s="35">
        <f t="shared" si="495"/>
        <v>0</v>
      </c>
      <c r="AB750" s="35">
        <f t="shared" si="496"/>
        <v>49800</v>
      </c>
      <c r="AC750" s="35">
        <f t="shared" si="497"/>
        <v>0</v>
      </c>
      <c r="AD750" s="35">
        <f t="shared" si="498"/>
        <v>0</v>
      </c>
      <c r="AE750" s="35">
        <f t="shared" si="499"/>
        <v>0</v>
      </c>
      <c r="AF750" s="35">
        <f t="shared" si="500"/>
        <v>0</v>
      </c>
      <c r="AG750" s="35">
        <f t="shared" si="501"/>
        <v>0</v>
      </c>
      <c r="AH750" s="35">
        <f t="shared" si="502"/>
        <v>0</v>
      </c>
      <c r="AI750" s="77" t="s">
        <v>72</v>
      </c>
      <c r="AJ750" s="64">
        <f t="shared" si="503"/>
        <v>0</v>
      </c>
      <c r="AK750" s="64">
        <f t="shared" si="504"/>
        <v>0</v>
      </c>
      <c r="AL750" s="64">
        <f t="shared" si="505"/>
        <v>49800</v>
      </c>
      <c r="AN750" s="35">
        <v>21</v>
      </c>
      <c r="AO750" s="35">
        <f>I750*1</f>
        <v>12450</v>
      </c>
      <c r="AP750" s="35">
        <f>I750*(1-1)</f>
        <v>0</v>
      </c>
      <c r="AQ750" s="78" t="s">
        <v>109</v>
      </c>
      <c r="AV750" s="35">
        <f t="shared" si="508"/>
        <v>49800</v>
      </c>
      <c r="AW750" s="35">
        <f t="shared" si="509"/>
        <v>49800</v>
      </c>
      <c r="AX750" s="35">
        <f t="shared" si="510"/>
        <v>0</v>
      </c>
      <c r="AY750" s="80" t="s">
        <v>1700</v>
      </c>
      <c r="AZ750" s="80" t="s">
        <v>1770</v>
      </c>
      <c r="BA750" s="77" t="s">
        <v>1785</v>
      </c>
      <c r="BC750" s="35">
        <f t="shared" si="511"/>
        <v>49800</v>
      </c>
      <c r="BD750" s="35">
        <f t="shared" si="512"/>
        <v>12450</v>
      </c>
      <c r="BE750" s="35">
        <v>0</v>
      </c>
      <c r="BF750" s="35">
        <f>750</f>
        <v>750</v>
      </c>
      <c r="BH750" s="64">
        <f t="shared" si="513"/>
        <v>49800</v>
      </c>
      <c r="BI750" s="64">
        <f t="shared" si="514"/>
        <v>0</v>
      </c>
      <c r="BJ750" s="64">
        <f t="shared" si="515"/>
        <v>49800</v>
      </c>
      <c r="BK750" s="64" t="s">
        <v>1790</v>
      </c>
      <c r="BL750" s="35" t="s">
        <v>161</v>
      </c>
    </row>
    <row r="751" spans="1:64" ht="25.7" customHeight="1">
      <c r="A751" s="19"/>
      <c r="C751" s="59" t="s">
        <v>730</v>
      </c>
      <c r="D751" s="167" t="s">
        <v>1617</v>
      </c>
      <c r="E751" s="168"/>
      <c r="F751" s="168"/>
      <c r="G751" s="168"/>
      <c r="H751" s="168"/>
      <c r="I751" s="168"/>
      <c r="J751" s="168"/>
      <c r="K751" s="168"/>
      <c r="L751" s="168"/>
      <c r="M751" s="169"/>
      <c r="N751" s="19"/>
    </row>
    <row r="752" spans="1:64">
      <c r="A752" s="47" t="s">
        <v>717</v>
      </c>
      <c r="B752" s="55" t="s">
        <v>72</v>
      </c>
      <c r="C752" s="55" t="s">
        <v>963</v>
      </c>
      <c r="D752" s="165" t="s">
        <v>1618</v>
      </c>
      <c r="E752" s="166"/>
      <c r="F752" s="166"/>
      <c r="G752" s="55" t="s">
        <v>1636</v>
      </c>
      <c r="H752" s="64">
        <v>4</v>
      </c>
      <c r="I752" s="64">
        <v>985</v>
      </c>
      <c r="J752" s="64">
        <f>H752*AO752</f>
        <v>3940</v>
      </c>
      <c r="K752" s="64">
        <f>H752*AP752</f>
        <v>0</v>
      </c>
      <c r="L752" s="64">
        <f>H752*I752</f>
        <v>3940</v>
      </c>
      <c r="M752" s="73"/>
      <c r="N752" s="19"/>
      <c r="Z752" s="35">
        <f>IF(AQ752="5",BJ752,0)</f>
        <v>0</v>
      </c>
      <c r="AB752" s="35">
        <f>IF(AQ752="1",BH752,0)</f>
        <v>3940</v>
      </c>
      <c r="AC752" s="35">
        <f>IF(AQ752="1",BI752,0)</f>
        <v>0</v>
      </c>
      <c r="AD752" s="35">
        <f>IF(AQ752="7",BH752,0)</f>
        <v>0</v>
      </c>
      <c r="AE752" s="35">
        <f>IF(AQ752="7",BI752,0)</f>
        <v>0</v>
      </c>
      <c r="AF752" s="35">
        <f>IF(AQ752="2",BH752,0)</f>
        <v>0</v>
      </c>
      <c r="AG752" s="35">
        <f>IF(AQ752="2",BI752,0)</f>
        <v>0</v>
      </c>
      <c r="AH752" s="35">
        <f>IF(AQ752="0",BJ752,0)</f>
        <v>0</v>
      </c>
      <c r="AI752" s="77" t="s">
        <v>72</v>
      </c>
      <c r="AJ752" s="64">
        <f>IF(AN752=0,L752,0)</f>
        <v>0</v>
      </c>
      <c r="AK752" s="64">
        <f>IF(AN752=15,L752,0)</f>
        <v>0</v>
      </c>
      <c r="AL752" s="64">
        <f>IF(AN752=21,L752,0)</f>
        <v>3940</v>
      </c>
      <c r="AN752" s="35">
        <v>21</v>
      </c>
      <c r="AO752" s="35">
        <f>I752*1</f>
        <v>985</v>
      </c>
      <c r="AP752" s="35">
        <f>I752*(1-1)</f>
        <v>0</v>
      </c>
      <c r="AQ752" s="78" t="s">
        <v>109</v>
      </c>
      <c r="AV752" s="35">
        <f>AW752+AX752</f>
        <v>3940</v>
      </c>
      <c r="AW752" s="35">
        <f>H752*AO752</f>
        <v>3940</v>
      </c>
      <c r="AX752" s="35">
        <f>H752*AP752</f>
        <v>0</v>
      </c>
      <c r="AY752" s="80" t="s">
        <v>1700</v>
      </c>
      <c r="AZ752" s="80" t="s">
        <v>1770</v>
      </c>
      <c r="BA752" s="77" t="s">
        <v>1785</v>
      </c>
      <c r="BC752" s="35">
        <f>AW752+AX752</f>
        <v>3940</v>
      </c>
      <c r="BD752" s="35">
        <f>I752/(100-BE752)*100</f>
        <v>985</v>
      </c>
      <c r="BE752" s="35">
        <v>0</v>
      </c>
      <c r="BF752" s="35">
        <f>752</f>
        <v>752</v>
      </c>
      <c r="BH752" s="64">
        <f>H752*AO752</f>
        <v>3940</v>
      </c>
      <c r="BI752" s="64">
        <f>H752*AP752</f>
        <v>0</v>
      </c>
      <c r="BJ752" s="64">
        <f>H752*I752</f>
        <v>3940</v>
      </c>
      <c r="BK752" s="64" t="s">
        <v>1790</v>
      </c>
      <c r="BL752" s="35" t="s">
        <v>161</v>
      </c>
    </row>
    <row r="753" spans="1:64">
      <c r="A753" s="47" t="s">
        <v>718</v>
      </c>
      <c r="B753" s="55" t="s">
        <v>72</v>
      </c>
      <c r="C753" s="55" t="s">
        <v>963</v>
      </c>
      <c r="D753" s="165" t="s">
        <v>1619</v>
      </c>
      <c r="E753" s="166"/>
      <c r="F753" s="166"/>
      <c r="G753" s="55" t="s">
        <v>1631</v>
      </c>
      <c r="H753" s="64">
        <v>4</v>
      </c>
      <c r="I753" s="64">
        <v>345</v>
      </c>
      <c r="J753" s="64">
        <f>H753*AO753</f>
        <v>1380</v>
      </c>
      <c r="K753" s="64">
        <f>H753*AP753</f>
        <v>0</v>
      </c>
      <c r="L753" s="64">
        <f>H753*I753</f>
        <v>1380</v>
      </c>
      <c r="M753" s="73"/>
      <c r="N753" s="19"/>
      <c r="Z753" s="35">
        <f>IF(AQ753="5",BJ753,0)</f>
        <v>0</v>
      </c>
      <c r="AB753" s="35">
        <f>IF(AQ753="1",BH753,0)</f>
        <v>1380</v>
      </c>
      <c r="AC753" s="35">
        <f>IF(AQ753="1",BI753,0)</f>
        <v>0</v>
      </c>
      <c r="AD753" s="35">
        <f>IF(AQ753="7",BH753,0)</f>
        <v>0</v>
      </c>
      <c r="AE753" s="35">
        <f>IF(AQ753="7",BI753,0)</f>
        <v>0</v>
      </c>
      <c r="AF753" s="35">
        <f>IF(AQ753="2",BH753,0)</f>
        <v>0</v>
      </c>
      <c r="AG753" s="35">
        <f>IF(AQ753="2",BI753,0)</f>
        <v>0</v>
      </c>
      <c r="AH753" s="35">
        <f>IF(AQ753="0",BJ753,0)</f>
        <v>0</v>
      </c>
      <c r="AI753" s="77" t="s">
        <v>72</v>
      </c>
      <c r="AJ753" s="64">
        <f>IF(AN753=0,L753,0)</f>
        <v>0</v>
      </c>
      <c r="AK753" s="64">
        <f>IF(AN753=15,L753,0)</f>
        <v>0</v>
      </c>
      <c r="AL753" s="64">
        <f>IF(AN753=21,L753,0)</f>
        <v>1380</v>
      </c>
      <c r="AN753" s="35">
        <v>21</v>
      </c>
      <c r="AO753" s="35">
        <f>I753*1</f>
        <v>345</v>
      </c>
      <c r="AP753" s="35">
        <f>I753*(1-1)</f>
        <v>0</v>
      </c>
      <c r="AQ753" s="78" t="s">
        <v>109</v>
      </c>
      <c r="AV753" s="35">
        <f>AW753+AX753</f>
        <v>1380</v>
      </c>
      <c r="AW753" s="35">
        <f>H753*AO753</f>
        <v>1380</v>
      </c>
      <c r="AX753" s="35">
        <f>H753*AP753</f>
        <v>0</v>
      </c>
      <c r="AY753" s="80" t="s">
        <v>1700</v>
      </c>
      <c r="AZ753" s="80" t="s">
        <v>1770</v>
      </c>
      <c r="BA753" s="77" t="s">
        <v>1785</v>
      </c>
      <c r="BC753" s="35">
        <f>AW753+AX753</f>
        <v>1380</v>
      </c>
      <c r="BD753" s="35">
        <f>I753/(100-BE753)*100</f>
        <v>345</v>
      </c>
      <c r="BE753" s="35">
        <v>0</v>
      </c>
      <c r="BF753" s="35">
        <f>753</f>
        <v>753</v>
      </c>
      <c r="BH753" s="64">
        <f>H753*AO753</f>
        <v>1380</v>
      </c>
      <c r="BI753" s="64">
        <f>H753*AP753</f>
        <v>0</v>
      </c>
      <c r="BJ753" s="64">
        <f>H753*I753</f>
        <v>1380</v>
      </c>
      <c r="BK753" s="64" t="s">
        <v>1790</v>
      </c>
      <c r="BL753" s="35" t="s">
        <v>161</v>
      </c>
    </row>
    <row r="754" spans="1:64">
      <c r="A754" s="46"/>
      <c r="B754" s="54" t="s">
        <v>72</v>
      </c>
      <c r="C754" s="54" t="s">
        <v>162</v>
      </c>
      <c r="D754" s="163" t="s">
        <v>212</v>
      </c>
      <c r="E754" s="164"/>
      <c r="F754" s="164"/>
      <c r="G754" s="61" t="s">
        <v>57</v>
      </c>
      <c r="H754" s="61" t="s">
        <v>57</v>
      </c>
      <c r="I754" s="61" t="s">
        <v>57</v>
      </c>
      <c r="J754" s="83">
        <f>SUM(J755:J756)</f>
        <v>0</v>
      </c>
      <c r="K754" s="83">
        <f>SUM(K755:K756)</f>
        <v>4280</v>
      </c>
      <c r="L754" s="83">
        <f>SUM(L755:L756)</f>
        <v>4280</v>
      </c>
      <c r="M754" s="72"/>
      <c r="N754" s="19"/>
      <c r="AI754" s="77" t="s">
        <v>72</v>
      </c>
      <c r="AS754" s="83">
        <f>SUM(AJ755:AJ756)</f>
        <v>0</v>
      </c>
      <c r="AT754" s="83">
        <f>SUM(AK755:AK756)</f>
        <v>0</v>
      </c>
      <c r="AU754" s="83">
        <f>SUM(AL755:AL756)</f>
        <v>4280</v>
      </c>
    </row>
    <row r="755" spans="1:64">
      <c r="A755" s="47" t="s">
        <v>719</v>
      </c>
      <c r="B755" s="55" t="s">
        <v>72</v>
      </c>
      <c r="C755" s="55" t="s">
        <v>983</v>
      </c>
      <c r="D755" s="165" t="s">
        <v>1467</v>
      </c>
      <c r="E755" s="166"/>
      <c r="F755" s="166"/>
      <c r="G755" s="55" t="s">
        <v>1631</v>
      </c>
      <c r="H755" s="64">
        <v>4</v>
      </c>
      <c r="I755" s="64">
        <v>215</v>
      </c>
      <c r="J755" s="64">
        <f>H755*AO755</f>
        <v>0</v>
      </c>
      <c r="K755" s="64">
        <f>H755*AP755</f>
        <v>860</v>
      </c>
      <c r="L755" s="64">
        <f>H755*I755</f>
        <v>860</v>
      </c>
      <c r="M755" s="73"/>
      <c r="N755" s="19"/>
      <c r="Z755" s="35">
        <f>IF(AQ755="5",BJ755,0)</f>
        <v>0</v>
      </c>
      <c r="AB755" s="35">
        <f>IF(AQ755="1",BH755,0)</f>
        <v>0</v>
      </c>
      <c r="AC755" s="35">
        <f>IF(AQ755="1",BI755,0)</f>
        <v>0</v>
      </c>
      <c r="AD755" s="35">
        <f>IF(AQ755="7",BH755,0)</f>
        <v>0</v>
      </c>
      <c r="AE755" s="35">
        <f>IF(AQ755="7",BI755,0)</f>
        <v>0</v>
      </c>
      <c r="AF755" s="35">
        <f>IF(AQ755="2",BH755,0)</f>
        <v>0</v>
      </c>
      <c r="AG755" s="35">
        <f>IF(AQ755="2",BI755,0)</f>
        <v>860</v>
      </c>
      <c r="AH755" s="35">
        <f>IF(AQ755="0",BJ755,0)</f>
        <v>0</v>
      </c>
      <c r="AI755" s="77" t="s">
        <v>72</v>
      </c>
      <c r="AJ755" s="64">
        <f>IF(AN755=0,L755,0)</f>
        <v>0</v>
      </c>
      <c r="AK755" s="64">
        <f>IF(AN755=15,L755,0)</f>
        <v>0</v>
      </c>
      <c r="AL755" s="64">
        <f>IF(AN755=21,L755,0)</f>
        <v>860</v>
      </c>
      <c r="AN755" s="35">
        <v>21</v>
      </c>
      <c r="AO755" s="35">
        <f>I755*0</f>
        <v>0</v>
      </c>
      <c r="AP755" s="35">
        <f>I755*(1-0)</f>
        <v>215</v>
      </c>
      <c r="AQ755" s="78" t="s">
        <v>110</v>
      </c>
      <c r="AV755" s="35">
        <f>AW755+AX755</f>
        <v>860</v>
      </c>
      <c r="AW755" s="35">
        <f>H755*AO755</f>
        <v>0</v>
      </c>
      <c r="AX755" s="35">
        <f>H755*AP755</f>
        <v>860</v>
      </c>
      <c r="AY755" s="80" t="s">
        <v>1701</v>
      </c>
      <c r="AZ755" s="80" t="s">
        <v>1770</v>
      </c>
      <c r="BA755" s="77" t="s">
        <v>1785</v>
      </c>
      <c r="BC755" s="35">
        <f>AW755+AX755</f>
        <v>860</v>
      </c>
      <c r="BD755" s="35">
        <f>I755/(100-BE755)*100</f>
        <v>215</v>
      </c>
      <c r="BE755" s="35">
        <v>0</v>
      </c>
      <c r="BF755" s="35">
        <f>755</f>
        <v>755</v>
      </c>
      <c r="BH755" s="64">
        <f>H755*AO755</f>
        <v>0</v>
      </c>
      <c r="BI755" s="64">
        <f>H755*AP755</f>
        <v>860</v>
      </c>
      <c r="BJ755" s="64">
        <f>H755*I755</f>
        <v>860</v>
      </c>
      <c r="BK755" s="64" t="s">
        <v>1790</v>
      </c>
      <c r="BL755" s="35" t="s">
        <v>162</v>
      </c>
    </row>
    <row r="756" spans="1:64">
      <c r="A756" s="47" t="s">
        <v>720</v>
      </c>
      <c r="B756" s="55" t="s">
        <v>72</v>
      </c>
      <c r="C756" s="55" t="s">
        <v>984</v>
      </c>
      <c r="D756" s="165" t="s">
        <v>1468</v>
      </c>
      <c r="E756" s="166"/>
      <c r="F756" s="166"/>
      <c r="G756" s="55" t="s">
        <v>1631</v>
      </c>
      <c r="H756" s="64">
        <v>12</v>
      </c>
      <c r="I756" s="64">
        <v>285</v>
      </c>
      <c r="J756" s="64">
        <f>H756*AO756</f>
        <v>0</v>
      </c>
      <c r="K756" s="64">
        <f>H756*AP756</f>
        <v>3420</v>
      </c>
      <c r="L756" s="64">
        <f>H756*I756</f>
        <v>3420</v>
      </c>
      <c r="M756" s="73"/>
      <c r="N756" s="19"/>
      <c r="Z756" s="35">
        <f>IF(AQ756="5",BJ756,0)</f>
        <v>0</v>
      </c>
      <c r="AB756" s="35">
        <f>IF(AQ756="1",BH756,0)</f>
        <v>0</v>
      </c>
      <c r="AC756" s="35">
        <f>IF(AQ756="1",BI756,0)</f>
        <v>0</v>
      </c>
      <c r="AD756" s="35">
        <f>IF(AQ756="7",BH756,0)</f>
        <v>0</v>
      </c>
      <c r="AE756" s="35">
        <f>IF(AQ756="7",BI756,0)</f>
        <v>0</v>
      </c>
      <c r="AF756" s="35">
        <f>IF(AQ756="2",BH756,0)</f>
        <v>0</v>
      </c>
      <c r="AG756" s="35">
        <f>IF(AQ756="2",BI756,0)</f>
        <v>3420</v>
      </c>
      <c r="AH756" s="35">
        <f>IF(AQ756="0",BJ756,0)</f>
        <v>0</v>
      </c>
      <c r="AI756" s="77" t="s">
        <v>72</v>
      </c>
      <c r="AJ756" s="64">
        <f>IF(AN756=0,L756,0)</f>
        <v>0</v>
      </c>
      <c r="AK756" s="64">
        <f>IF(AN756=15,L756,0)</f>
        <v>0</v>
      </c>
      <c r="AL756" s="64">
        <f>IF(AN756=21,L756,0)</f>
        <v>3420</v>
      </c>
      <c r="AN756" s="35">
        <v>21</v>
      </c>
      <c r="AO756" s="35">
        <f>I756*0</f>
        <v>0</v>
      </c>
      <c r="AP756" s="35">
        <f>I756*(1-0)</f>
        <v>285</v>
      </c>
      <c r="AQ756" s="78" t="s">
        <v>110</v>
      </c>
      <c r="AV756" s="35">
        <f>AW756+AX756</f>
        <v>3420</v>
      </c>
      <c r="AW756" s="35">
        <f>H756*AO756</f>
        <v>0</v>
      </c>
      <c r="AX756" s="35">
        <f>H756*AP756</f>
        <v>3420</v>
      </c>
      <c r="AY756" s="80" t="s">
        <v>1701</v>
      </c>
      <c r="AZ756" s="80" t="s">
        <v>1770</v>
      </c>
      <c r="BA756" s="77" t="s">
        <v>1785</v>
      </c>
      <c r="BC756" s="35">
        <f>AW756+AX756</f>
        <v>3420</v>
      </c>
      <c r="BD756" s="35">
        <f>I756/(100-BE756)*100</f>
        <v>285</v>
      </c>
      <c r="BE756" s="35">
        <v>0</v>
      </c>
      <c r="BF756" s="35">
        <f>756</f>
        <v>756</v>
      </c>
      <c r="BH756" s="64">
        <f>H756*AO756</f>
        <v>0</v>
      </c>
      <c r="BI756" s="64">
        <f>H756*AP756</f>
        <v>3420</v>
      </c>
      <c r="BJ756" s="64">
        <f>H756*I756</f>
        <v>3420</v>
      </c>
      <c r="BK756" s="64" t="s">
        <v>1790</v>
      </c>
      <c r="BL756" s="35" t="s">
        <v>162</v>
      </c>
    </row>
    <row r="757" spans="1:64">
      <c r="A757" s="49"/>
      <c r="B757" s="57" t="s">
        <v>73</v>
      </c>
      <c r="C757" s="57"/>
      <c r="D757" s="172" t="s">
        <v>89</v>
      </c>
      <c r="E757" s="173"/>
      <c r="F757" s="173"/>
      <c r="G757" s="62" t="s">
        <v>57</v>
      </c>
      <c r="H757" s="62" t="s">
        <v>57</v>
      </c>
      <c r="I757" s="62" t="s">
        <v>57</v>
      </c>
      <c r="J757" s="84">
        <f>J758</f>
        <v>0</v>
      </c>
      <c r="K757" s="84">
        <f>K758</f>
        <v>146880</v>
      </c>
      <c r="L757" s="84">
        <f>L758</f>
        <v>146880</v>
      </c>
      <c r="M757" s="75"/>
      <c r="N757" s="19"/>
    </row>
    <row r="758" spans="1:64">
      <c r="A758" s="46"/>
      <c r="B758" s="54" t="s">
        <v>73</v>
      </c>
      <c r="C758" s="54" t="s">
        <v>73</v>
      </c>
      <c r="D758" s="163" t="s">
        <v>232</v>
      </c>
      <c r="E758" s="164"/>
      <c r="F758" s="164"/>
      <c r="G758" s="61" t="s">
        <v>57</v>
      </c>
      <c r="H758" s="61" t="s">
        <v>57</v>
      </c>
      <c r="I758" s="61" t="s">
        <v>57</v>
      </c>
      <c r="J758" s="83">
        <f>SUM(J759:J767)</f>
        <v>0</v>
      </c>
      <c r="K758" s="83">
        <f>SUM(K759:K767)</f>
        <v>146880</v>
      </c>
      <c r="L758" s="83">
        <f>SUM(L759:L767)</f>
        <v>146880</v>
      </c>
      <c r="M758" s="72"/>
      <c r="N758" s="19"/>
      <c r="AI758" s="77" t="s">
        <v>73</v>
      </c>
      <c r="AS758" s="83">
        <f>SUM(AJ759:AJ767)</f>
        <v>0</v>
      </c>
      <c r="AT758" s="83">
        <f>SUM(AK759:AK767)</f>
        <v>0</v>
      </c>
      <c r="AU758" s="83">
        <f>SUM(AL759:AL767)</f>
        <v>146880</v>
      </c>
    </row>
    <row r="759" spans="1:64">
      <c r="A759" s="47" t="s">
        <v>721</v>
      </c>
      <c r="B759" s="55" t="s">
        <v>73</v>
      </c>
      <c r="C759" s="55" t="s">
        <v>1108</v>
      </c>
      <c r="D759" s="165" t="s">
        <v>1620</v>
      </c>
      <c r="E759" s="166"/>
      <c r="F759" s="166"/>
      <c r="G759" s="55" t="s">
        <v>1648</v>
      </c>
      <c r="H759" s="64">
        <v>1</v>
      </c>
      <c r="I759" s="64">
        <v>28800</v>
      </c>
      <c r="J759" s="64">
        <f t="shared" ref="J759:J767" si="516">H759*AO759</f>
        <v>0</v>
      </c>
      <c r="K759" s="64">
        <f t="shared" ref="K759:K767" si="517">H759*AP759</f>
        <v>28800</v>
      </c>
      <c r="L759" s="64">
        <f t="shared" ref="L759:L767" si="518">H759*I759</f>
        <v>28800</v>
      </c>
      <c r="M759" s="73" t="s">
        <v>1658</v>
      </c>
      <c r="N759" s="19"/>
      <c r="Z759" s="35">
        <f t="shared" ref="Z759:Z767" si="519">IF(AQ759="5",BJ759,0)</f>
        <v>0</v>
      </c>
      <c r="AB759" s="35">
        <f t="shared" ref="AB759:AB767" si="520">IF(AQ759="1",BH759,0)</f>
        <v>0</v>
      </c>
      <c r="AC759" s="35">
        <f t="shared" ref="AC759:AC767" si="521">IF(AQ759="1",BI759,0)</f>
        <v>28800</v>
      </c>
      <c r="AD759" s="35">
        <f t="shared" ref="AD759:AD767" si="522">IF(AQ759="7",BH759,0)</f>
        <v>0</v>
      </c>
      <c r="AE759" s="35">
        <f t="shared" ref="AE759:AE767" si="523">IF(AQ759="7",BI759,0)</f>
        <v>0</v>
      </c>
      <c r="AF759" s="35">
        <f t="shared" ref="AF759:AF767" si="524">IF(AQ759="2",BH759,0)</f>
        <v>0</v>
      </c>
      <c r="AG759" s="35">
        <f t="shared" ref="AG759:AG767" si="525">IF(AQ759="2",BI759,0)</f>
        <v>0</v>
      </c>
      <c r="AH759" s="35">
        <f t="shared" ref="AH759:AH767" si="526">IF(AQ759="0",BJ759,0)</f>
        <v>0</v>
      </c>
      <c r="AI759" s="77" t="s">
        <v>73</v>
      </c>
      <c r="AJ759" s="64">
        <f t="shared" ref="AJ759:AJ767" si="527">IF(AN759=0,L759,0)</f>
        <v>0</v>
      </c>
      <c r="AK759" s="64">
        <f t="shared" ref="AK759:AK767" si="528">IF(AN759=15,L759,0)</f>
        <v>0</v>
      </c>
      <c r="AL759" s="64">
        <f t="shared" ref="AL759:AL767" si="529">IF(AN759=21,L759,0)</f>
        <v>28800</v>
      </c>
      <c r="AN759" s="35">
        <v>21</v>
      </c>
      <c r="AO759" s="35">
        <f t="shared" ref="AO759:AO767" si="530">I759*0</f>
        <v>0</v>
      </c>
      <c r="AP759" s="35">
        <f t="shared" ref="AP759:AP767" si="531">I759*(1-0)</f>
        <v>28800</v>
      </c>
      <c r="AQ759" s="78" t="s">
        <v>109</v>
      </c>
      <c r="AV759" s="35">
        <f t="shared" ref="AV759:AV767" si="532">AW759+AX759</f>
        <v>28800</v>
      </c>
      <c r="AW759" s="35">
        <f t="shared" ref="AW759:AW767" si="533">H759*AO759</f>
        <v>0</v>
      </c>
      <c r="AX759" s="35">
        <f t="shared" ref="AX759:AX767" si="534">H759*AP759</f>
        <v>28800</v>
      </c>
      <c r="AY759" s="80" t="s">
        <v>1721</v>
      </c>
      <c r="AZ759" s="80" t="s">
        <v>1771</v>
      </c>
      <c r="BA759" s="77" t="s">
        <v>1721</v>
      </c>
      <c r="BC759" s="35">
        <f t="shared" ref="BC759:BC767" si="535">AW759+AX759</f>
        <v>28800</v>
      </c>
      <c r="BD759" s="35">
        <f t="shared" ref="BD759:BD767" si="536">I759/(100-BE759)*100</f>
        <v>28800</v>
      </c>
      <c r="BE759" s="35">
        <v>0</v>
      </c>
      <c r="BF759" s="35">
        <f>759</f>
        <v>759</v>
      </c>
      <c r="BH759" s="64">
        <f t="shared" ref="BH759:BH767" si="537">H759*AO759</f>
        <v>0</v>
      </c>
      <c r="BI759" s="64">
        <f t="shared" ref="BI759:BI767" si="538">H759*AP759</f>
        <v>28800</v>
      </c>
      <c r="BJ759" s="64">
        <f t="shared" ref="BJ759:BJ767" si="539">H759*I759</f>
        <v>28800</v>
      </c>
      <c r="BK759" s="64" t="s">
        <v>1790</v>
      </c>
      <c r="BL759" s="35" t="s">
        <v>73</v>
      </c>
    </row>
    <row r="760" spans="1:64">
      <c r="A760" s="47" t="s">
        <v>722</v>
      </c>
      <c r="B760" s="55" t="s">
        <v>73</v>
      </c>
      <c r="C760" s="55" t="s">
        <v>1109</v>
      </c>
      <c r="D760" s="165" t="s">
        <v>1621</v>
      </c>
      <c r="E760" s="166"/>
      <c r="F760" s="166"/>
      <c r="G760" s="55" t="s">
        <v>1648</v>
      </c>
      <c r="H760" s="64">
        <v>1</v>
      </c>
      <c r="I760" s="64">
        <v>3600</v>
      </c>
      <c r="J760" s="64">
        <f t="shared" si="516"/>
        <v>0</v>
      </c>
      <c r="K760" s="64">
        <f t="shared" si="517"/>
        <v>3600</v>
      </c>
      <c r="L760" s="64">
        <f t="shared" si="518"/>
        <v>3600</v>
      </c>
      <c r="M760" s="73" t="s">
        <v>1658</v>
      </c>
      <c r="N760" s="19"/>
      <c r="Z760" s="35">
        <f t="shared" si="519"/>
        <v>0</v>
      </c>
      <c r="AB760" s="35">
        <f t="shared" si="520"/>
        <v>0</v>
      </c>
      <c r="AC760" s="35">
        <f t="shared" si="521"/>
        <v>3600</v>
      </c>
      <c r="AD760" s="35">
        <f t="shared" si="522"/>
        <v>0</v>
      </c>
      <c r="AE760" s="35">
        <f t="shared" si="523"/>
        <v>0</v>
      </c>
      <c r="AF760" s="35">
        <f t="shared" si="524"/>
        <v>0</v>
      </c>
      <c r="AG760" s="35">
        <f t="shared" si="525"/>
        <v>0</v>
      </c>
      <c r="AH760" s="35">
        <f t="shared" si="526"/>
        <v>0</v>
      </c>
      <c r="AI760" s="77" t="s">
        <v>73</v>
      </c>
      <c r="AJ760" s="64">
        <f t="shared" si="527"/>
        <v>0</v>
      </c>
      <c r="AK760" s="64">
        <f t="shared" si="528"/>
        <v>0</v>
      </c>
      <c r="AL760" s="64">
        <f t="shared" si="529"/>
        <v>3600</v>
      </c>
      <c r="AN760" s="35">
        <v>21</v>
      </c>
      <c r="AO760" s="35">
        <f t="shared" si="530"/>
        <v>0</v>
      </c>
      <c r="AP760" s="35">
        <f t="shared" si="531"/>
        <v>3600</v>
      </c>
      <c r="AQ760" s="78" t="s">
        <v>109</v>
      </c>
      <c r="AV760" s="35">
        <f t="shared" si="532"/>
        <v>3600</v>
      </c>
      <c r="AW760" s="35">
        <f t="shared" si="533"/>
        <v>0</v>
      </c>
      <c r="AX760" s="35">
        <f t="shared" si="534"/>
        <v>3600</v>
      </c>
      <c r="AY760" s="80" t="s">
        <v>1721</v>
      </c>
      <c r="AZ760" s="80" t="s">
        <v>1771</v>
      </c>
      <c r="BA760" s="77" t="s">
        <v>1721</v>
      </c>
      <c r="BC760" s="35">
        <f t="shared" si="535"/>
        <v>3600</v>
      </c>
      <c r="BD760" s="35">
        <f t="shared" si="536"/>
        <v>3600</v>
      </c>
      <c r="BE760" s="35">
        <v>0</v>
      </c>
      <c r="BF760" s="35">
        <f>760</f>
        <v>760</v>
      </c>
      <c r="BH760" s="64">
        <f t="shared" si="537"/>
        <v>0</v>
      </c>
      <c r="BI760" s="64">
        <f t="shared" si="538"/>
        <v>3600</v>
      </c>
      <c r="BJ760" s="64">
        <f t="shared" si="539"/>
        <v>3600</v>
      </c>
      <c r="BK760" s="64" t="s">
        <v>1790</v>
      </c>
      <c r="BL760" s="35" t="s">
        <v>73</v>
      </c>
    </row>
    <row r="761" spans="1:64">
      <c r="A761" s="47" t="s">
        <v>723</v>
      </c>
      <c r="B761" s="55" t="s">
        <v>73</v>
      </c>
      <c r="C761" s="55" t="s">
        <v>1110</v>
      </c>
      <c r="D761" s="165" t="s">
        <v>1622</v>
      </c>
      <c r="E761" s="166"/>
      <c r="F761" s="166"/>
      <c r="G761" s="55" t="s">
        <v>1648</v>
      </c>
      <c r="H761" s="64">
        <v>1</v>
      </c>
      <c r="I761" s="64">
        <v>40320</v>
      </c>
      <c r="J761" s="64">
        <f t="shared" si="516"/>
        <v>0</v>
      </c>
      <c r="K761" s="64">
        <f t="shared" si="517"/>
        <v>40320</v>
      </c>
      <c r="L761" s="64">
        <f t="shared" si="518"/>
        <v>40320</v>
      </c>
      <c r="M761" s="73" t="s">
        <v>1658</v>
      </c>
      <c r="N761" s="19"/>
      <c r="Z761" s="35">
        <f t="shared" si="519"/>
        <v>0</v>
      </c>
      <c r="AB761" s="35">
        <f t="shared" si="520"/>
        <v>0</v>
      </c>
      <c r="AC761" s="35">
        <f t="shared" si="521"/>
        <v>40320</v>
      </c>
      <c r="AD761" s="35">
        <f t="shared" si="522"/>
        <v>0</v>
      </c>
      <c r="AE761" s="35">
        <f t="shared" si="523"/>
        <v>0</v>
      </c>
      <c r="AF761" s="35">
        <f t="shared" si="524"/>
        <v>0</v>
      </c>
      <c r="AG761" s="35">
        <f t="shared" si="525"/>
        <v>0</v>
      </c>
      <c r="AH761" s="35">
        <f t="shared" si="526"/>
        <v>0</v>
      </c>
      <c r="AI761" s="77" t="s">
        <v>73</v>
      </c>
      <c r="AJ761" s="64">
        <f t="shared" si="527"/>
        <v>0</v>
      </c>
      <c r="AK761" s="64">
        <f t="shared" si="528"/>
        <v>0</v>
      </c>
      <c r="AL761" s="64">
        <f t="shared" si="529"/>
        <v>40320</v>
      </c>
      <c r="AN761" s="35">
        <v>21</v>
      </c>
      <c r="AO761" s="35">
        <f t="shared" si="530"/>
        <v>0</v>
      </c>
      <c r="AP761" s="35">
        <f t="shared" si="531"/>
        <v>40320</v>
      </c>
      <c r="AQ761" s="78" t="s">
        <v>109</v>
      </c>
      <c r="AV761" s="35">
        <f t="shared" si="532"/>
        <v>40320</v>
      </c>
      <c r="AW761" s="35">
        <f t="shared" si="533"/>
        <v>0</v>
      </c>
      <c r="AX761" s="35">
        <f t="shared" si="534"/>
        <v>40320</v>
      </c>
      <c r="AY761" s="80" t="s">
        <v>1721</v>
      </c>
      <c r="AZ761" s="80" t="s">
        <v>1771</v>
      </c>
      <c r="BA761" s="77" t="s">
        <v>1721</v>
      </c>
      <c r="BC761" s="35">
        <f t="shared" si="535"/>
        <v>40320</v>
      </c>
      <c r="BD761" s="35">
        <f t="shared" si="536"/>
        <v>40320</v>
      </c>
      <c r="BE761" s="35">
        <v>0</v>
      </c>
      <c r="BF761" s="35">
        <f>761</f>
        <v>761</v>
      </c>
      <c r="BH761" s="64">
        <f t="shared" si="537"/>
        <v>0</v>
      </c>
      <c r="BI761" s="64">
        <f t="shared" si="538"/>
        <v>40320</v>
      </c>
      <c r="BJ761" s="64">
        <f t="shared" si="539"/>
        <v>40320</v>
      </c>
      <c r="BK761" s="64" t="s">
        <v>1790</v>
      </c>
      <c r="BL761" s="35" t="s">
        <v>73</v>
      </c>
    </row>
    <row r="762" spans="1:64">
      <c r="A762" s="47" t="s">
        <v>724</v>
      </c>
      <c r="B762" s="55" t="s">
        <v>73</v>
      </c>
      <c r="C762" s="55" t="s">
        <v>1111</v>
      </c>
      <c r="D762" s="165" t="s">
        <v>1623</v>
      </c>
      <c r="E762" s="166"/>
      <c r="F762" s="166"/>
      <c r="G762" s="55" t="s">
        <v>1648</v>
      </c>
      <c r="H762" s="64">
        <v>1</v>
      </c>
      <c r="I762" s="64">
        <v>10080</v>
      </c>
      <c r="J762" s="64">
        <f t="shared" si="516"/>
        <v>0</v>
      </c>
      <c r="K762" s="64">
        <f t="shared" si="517"/>
        <v>10080</v>
      </c>
      <c r="L762" s="64">
        <f t="shared" si="518"/>
        <v>10080</v>
      </c>
      <c r="M762" s="73" t="s">
        <v>1658</v>
      </c>
      <c r="N762" s="19"/>
      <c r="Z762" s="35">
        <f t="shared" si="519"/>
        <v>0</v>
      </c>
      <c r="AB762" s="35">
        <f t="shared" si="520"/>
        <v>0</v>
      </c>
      <c r="AC762" s="35">
        <f t="shared" si="521"/>
        <v>10080</v>
      </c>
      <c r="AD762" s="35">
        <f t="shared" si="522"/>
        <v>0</v>
      </c>
      <c r="AE762" s="35">
        <f t="shared" si="523"/>
        <v>0</v>
      </c>
      <c r="AF762" s="35">
        <f t="shared" si="524"/>
        <v>0</v>
      </c>
      <c r="AG762" s="35">
        <f t="shared" si="525"/>
        <v>0</v>
      </c>
      <c r="AH762" s="35">
        <f t="shared" si="526"/>
        <v>0</v>
      </c>
      <c r="AI762" s="77" t="s">
        <v>73</v>
      </c>
      <c r="AJ762" s="64">
        <f t="shared" si="527"/>
        <v>0</v>
      </c>
      <c r="AK762" s="64">
        <f t="shared" si="528"/>
        <v>0</v>
      </c>
      <c r="AL762" s="64">
        <f t="shared" si="529"/>
        <v>10080</v>
      </c>
      <c r="AN762" s="35">
        <v>21</v>
      </c>
      <c r="AO762" s="35">
        <f t="shared" si="530"/>
        <v>0</v>
      </c>
      <c r="AP762" s="35">
        <f t="shared" si="531"/>
        <v>10080</v>
      </c>
      <c r="AQ762" s="78" t="s">
        <v>109</v>
      </c>
      <c r="AV762" s="35">
        <f t="shared" si="532"/>
        <v>10080</v>
      </c>
      <c r="AW762" s="35">
        <f t="shared" si="533"/>
        <v>0</v>
      </c>
      <c r="AX762" s="35">
        <f t="shared" si="534"/>
        <v>10080</v>
      </c>
      <c r="AY762" s="80" t="s">
        <v>1721</v>
      </c>
      <c r="AZ762" s="80" t="s">
        <v>1771</v>
      </c>
      <c r="BA762" s="77" t="s">
        <v>1721</v>
      </c>
      <c r="BC762" s="35">
        <f t="shared" si="535"/>
        <v>10080</v>
      </c>
      <c r="BD762" s="35">
        <f t="shared" si="536"/>
        <v>10080</v>
      </c>
      <c r="BE762" s="35">
        <v>0</v>
      </c>
      <c r="BF762" s="35">
        <f>762</f>
        <v>762</v>
      </c>
      <c r="BH762" s="64">
        <f t="shared" si="537"/>
        <v>0</v>
      </c>
      <c r="BI762" s="64">
        <f t="shared" si="538"/>
        <v>10080</v>
      </c>
      <c r="BJ762" s="64">
        <f t="shared" si="539"/>
        <v>10080</v>
      </c>
      <c r="BK762" s="64" t="s">
        <v>1790</v>
      </c>
      <c r="BL762" s="35" t="s">
        <v>73</v>
      </c>
    </row>
    <row r="763" spans="1:64">
      <c r="A763" s="47" t="s">
        <v>725</v>
      </c>
      <c r="B763" s="55" t="s">
        <v>73</v>
      </c>
      <c r="C763" s="55" t="s">
        <v>1112</v>
      </c>
      <c r="D763" s="165" t="s">
        <v>1624</v>
      </c>
      <c r="E763" s="166"/>
      <c r="F763" s="166"/>
      <c r="G763" s="55" t="s">
        <v>1648</v>
      </c>
      <c r="H763" s="64">
        <v>1</v>
      </c>
      <c r="I763" s="64">
        <v>30240</v>
      </c>
      <c r="J763" s="64">
        <f t="shared" si="516"/>
        <v>0</v>
      </c>
      <c r="K763" s="64">
        <f t="shared" si="517"/>
        <v>30240</v>
      </c>
      <c r="L763" s="64">
        <f t="shared" si="518"/>
        <v>30240</v>
      </c>
      <c r="M763" s="73" t="s">
        <v>1658</v>
      </c>
      <c r="N763" s="19"/>
      <c r="Z763" s="35">
        <f t="shared" si="519"/>
        <v>0</v>
      </c>
      <c r="AB763" s="35">
        <f t="shared" si="520"/>
        <v>0</v>
      </c>
      <c r="AC763" s="35">
        <f t="shared" si="521"/>
        <v>30240</v>
      </c>
      <c r="AD763" s="35">
        <f t="shared" si="522"/>
        <v>0</v>
      </c>
      <c r="AE763" s="35">
        <f t="shared" si="523"/>
        <v>0</v>
      </c>
      <c r="AF763" s="35">
        <f t="shared" si="524"/>
        <v>0</v>
      </c>
      <c r="AG763" s="35">
        <f t="shared" si="525"/>
        <v>0</v>
      </c>
      <c r="AH763" s="35">
        <f t="shared" si="526"/>
        <v>0</v>
      </c>
      <c r="AI763" s="77" t="s">
        <v>73</v>
      </c>
      <c r="AJ763" s="64">
        <f t="shared" si="527"/>
        <v>0</v>
      </c>
      <c r="AK763" s="64">
        <f t="shared" si="528"/>
        <v>0</v>
      </c>
      <c r="AL763" s="64">
        <f t="shared" si="529"/>
        <v>30240</v>
      </c>
      <c r="AN763" s="35">
        <v>21</v>
      </c>
      <c r="AO763" s="35">
        <f t="shared" si="530"/>
        <v>0</v>
      </c>
      <c r="AP763" s="35">
        <f t="shared" si="531"/>
        <v>30240</v>
      </c>
      <c r="AQ763" s="78" t="s">
        <v>109</v>
      </c>
      <c r="AV763" s="35">
        <f t="shared" si="532"/>
        <v>30240</v>
      </c>
      <c r="AW763" s="35">
        <f t="shared" si="533"/>
        <v>0</v>
      </c>
      <c r="AX763" s="35">
        <f t="shared" si="534"/>
        <v>30240</v>
      </c>
      <c r="AY763" s="80" t="s">
        <v>1721</v>
      </c>
      <c r="AZ763" s="80" t="s">
        <v>1771</v>
      </c>
      <c r="BA763" s="77" t="s">
        <v>1721</v>
      </c>
      <c r="BC763" s="35">
        <f t="shared" si="535"/>
        <v>30240</v>
      </c>
      <c r="BD763" s="35">
        <f t="shared" si="536"/>
        <v>30239.999999999996</v>
      </c>
      <c r="BE763" s="35">
        <v>0</v>
      </c>
      <c r="BF763" s="35">
        <f>763</f>
        <v>763</v>
      </c>
      <c r="BH763" s="64">
        <f t="shared" si="537"/>
        <v>0</v>
      </c>
      <c r="BI763" s="64">
        <f t="shared" si="538"/>
        <v>30240</v>
      </c>
      <c r="BJ763" s="64">
        <f t="shared" si="539"/>
        <v>30240</v>
      </c>
      <c r="BK763" s="64" t="s">
        <v>1790</v>
      </c>
      <c r="BL763" s="35" t="s">
        <v>73</v>
      </c>
    </row>
    <row r="764" spans="1:64">
      <c r="A764" s="47" t="s">
        <v>726</v>
      </c>
      <c r="B764" s="55" t="s">
        <v>73</v>
      </c>
      <c r="C764" s="55" t="s">
        <v>1113</v>
      </c>
      <c r="D764" s="165" t="s">
        <v>1625</v>
      </c>
      <c r="E764" s="166"/>
      <c r="F764" s="166"/>
      <c r="G764" s="55" t="s">
        <v>1648</v>
      </c>
      <c r="H764" s="64">
        <v>1</v>
      </c>
      <c r="I764" s="64">
        <v>2880</v>
      </c>
      <c r="J764" s="64">
        <f t="shared" si="516"/>
        <v>0</v>
      </c>
      <c r="K764" s="64">
        <f t="shared" si="517"/>
        <v>2880</v>
      </c>
      <c r="L764" s="64">
        <f t="shared" si="518"/>
        <v>2880</v>
      </c>
      <c r="M764" s="73" t="s">
        <v>1658</v>
      </c>
      <c r="N764" s="19"/>
      <c r="Z764" s="35">
        <f t="shared" si="519"/>
        <v>0</v>
      </c>
      <c r="AB764" s="35">
        <f t="shared" si="520"/>
        <v>0</v>
      </c>
      <c r="AC764" s="35">
        <f t="shared" si="521"/>
        <v>2880</v>
      </c>
      <c r="AD764" s="35">
        <f t="shared" si="522"/>
        <v>0</v>
      </c>
      <c r="AE764" s="35">
        <f t="shared" si="523"/>
        <v>0</v>
      </c>
      <c r="AF764" s="35">
        <f t="shared" si="524"/>
        <v>0</v>
      </c>
      <c r="AG764" s="35">
        <f t="shared" si="525"/>
        <v>0</v>
      </c>
      <c r="AH764" s="35">
        <f t="shared" si="526"/>
        <v>0</v>
      </c>
      <c r="AI764" s="77" t="s">
        <v>73</v>
      </c>
      <c r="AJ764" s="64">
        <f t="shared" si="527"/>
        <v>0</v>
      </c>
      <c r="AK764" s="64">
        <f t="shared" si="528"/>
        <v>0</v>
      </c>
      <c r="AL764" s="64">
        <f t="shared" si="529"/>
        <v>2880</v>
      </c>
      <c r="AN764" s="35">
        <v>21</v>
      </c>
      <c r="AO764" s="35">
        <f t="shared" si="530"/>
        <v>0</v>
      </c>
      <c r="AP764" s="35">
        <f t="shared" si="531"/>
        <v>2880</v>
      </c>
      <c r="AQ764" s="78" t="s">
        <v>109</v>
      </c>
      <c r="AV764" s="35">
        <f t="shared" si="532"/>
        <v>2880</v>
      </c>
      <c r="AW764" s="35">
        <f t="shared" si="533"/>
        <v>0</v>
      </c>
      <c r="AX764" s="35">
        <f t="shared" si="534"/>
        <v>2880</v>
      </c>
      <c r="AY764" s="80" t="s">
        <v>1721</v>
      </c>
      <c r="AZ764" s="80" t="s">
        <v>1771</v>
      </c>
      <c r="BA764" s="77" t="s">
        <v>1721</v>
      </c>
      <c r="BC764" s="35">
        <f t="shared" si="535"/>
        <v>2880</v>
      </c>
      <c r="BD764" s="35">
        <f t="shared" si="536"/>
        <v>2880</v>
      </c>
      <c r="BE764" s="35">
        <v>0</v>
      </c>
      <c r="BF764" s="35">
        <f>764</f>
        <v>764</v>
      </c>
      <c r="BH764" s="64">
        <f t="shared" si="537"/>
        <v>0</v>
      </c>
      <c r="BI764" s="64">
        <f t="shared" si="538"/>
        <v>2880</v>
      </c>
      <c r="BJ764" s="64">
        <f t="shared" si="539"/>
        <v>2880</v>
      </c>
      <c r="BK764" s="64" t="s">
        <v>1790</v>
      </c>
      <c r="BL764" s="35" t="s">
        <v>73</v>
      </c>
    </row>
    <row r="765" spans="1:64">
      <c r="A765" s="47" t="s">
        <v>727</v>
      </c>
      <c r="B765" s="55" t="s">
        <v>73</v>
      </c>
      <c r="C765" s="55" t="s">
        <v>1114</v>
      </c>
      <c r="D765" s="165" t="s">
        <v>1626</v>
      </c>
      <c r="E765" s="166"/>
      <c r="F765" s="166"/>
      <c r="G765" s="55" t="s">
        <v>1648</v>
      </c>
      <c r="H765" s="64">
        <v>1</v>
      </c>
      <c r="I765" s="64">
        <v>3600</v>
      </c>
      <c r="J765" s="64">
        <f t="shared" si="516"/>
        <v>0</v>
      </c>
      <c r="K765" s="64">
        <f t="shared" si="517"/>
        <v>3600</v>
      </c>
      <c r="L765" s="64">
        <f t="shared" si="518"/>
        <v>3600</v>
      </c>
      <c r="M765" s="73" t="s">
        <v>1658</v>
      </c>
      <c r="N765" s="19"/>
      <c r="Z765" s="35">
        <f t="shared" si="519"/>
        <v>0</v>
      </c>
      <c r="AB765" s="35">
        <f t="shared" si="520"/>
        <v>0</v>
      </c>
      <c r="AC765" s="35">
        <f t="shared" si="521"/>
        <v>3600</v>
      </c>
      <c r="AD765" s="35">
        <f t="shared" si="522"/>
        <v>0</v>
      </c>
      <c r="AE765" s="35">
        <f t="shared" si="523"/>
        <v>0</v>
      </c>
      <c r="AF765" s="35">
        <f t="shared" si="524"/>
        <v>0</v>
      </c>
      <c r="AG765" s="35">
        <f t="shared" si="525"/>
        <v>0</v>
      </c>
      <c r="AH765" s="35">
        <f t="shared" si="526"/>
        <v>0</v>
      </c>
      <c r="AI765" s="77" t="s">
        <v>73</v>
      </c>
      <c r="AJ765" s="64">
        <f t="shared" si="527"/>
        <v>0</v>
      </c>
      <c r="AK765" s="64">
        <f t="shared" si="528"/>
        <v>0</v>
      </c>
      <c r="AL765" s="64">
        <f t="shared" si="529"/>
        <v>3600</v>
      </c>
      <c r="AN765" s="35">
        <v>21</v>
      </c>
      <c r="AO765" s="35">
        <f t="shared" si="530"/>
        <v>0</v>
      </c>
      <c r="AP765" s="35">
        <f t="shared" si="531"/>
        <v>3600</v>
      </c>
      <c r="AQ765" s="78" t="s">
        <v>109</v>
      </c>
      <c r="AV765" s="35">
        <f t="shared" si="532"/>
        <v>3600</v>
      </c>
      <c r="AW765" s="35">
        <f t="shared" si="533"/>
        <v>0</v>
      </c>
      <c r="AX765" s="35">
        <f t="shared" si="534"/>
        <v>3600</v>
      </c>
      <c r="AY765" s="80" t="s">
        <v>1721</v>
      </c>
      <c r="AZ765" s="80" t="s">
        <v>1771</v>
      </c>
      <c r="BA765" s="77" t="s">
        <v>1721</v>
      </c>
      <c r="BC765" s="35">
        <f t="shared" si="535"/>
        <v>3600</v>
      </c>
      <c r="BD765" s="35">
        <f t="shared" si="536"/>
        <v>3600</v>
      </c>
      <c r="BE765" s="35">
        <v>0</v>
      </c>
      <c r="BF765" s="35">
        <f>765</f>
        <v>765</v>
      </c>
      <c r="BH765" s="64">
        <f t="shared" si="537"/>
        <v>0</v>
      </c>
      <c r="BI765" s="64">
        <f t="shared" si="538"/>
        <v>3600</v>
      </c>
      <c r="BJ765" s="64">
        <f t="shared" si="539"/>
        <v>3600</v>
      </c>
      <c r="BK765" s="64" t="s">
        <v>1790</v>
      </c>
      <c r="BL765" s="35" t="s">
        <v>73</v>
      </c>
    </row>
    <row r="766" spans="1:64">
      <c r="A766" s="47" t="s">
        <v>728</v>
      </c>
      <c r="B766" s="55" t="s">
        <v>73</v>
      </c>
      <c r="C766" s="55" t="s">
        <v>1115</v>
      </c>
      <c r="D766" s="165" t="s">
        <v>1627</v>
      </c>
      <c r="E766" s="166"/>
      <c r="F766" s="166"/>
      <c r="G766" s="55" t="s">
        <v>1648</v>
      </c>
      <c r="H766" s="64">
        <v>1</v>
      </c>
      <c r="I766" s="64">
        <v>20160</v>
      </c>
      <c r="J766" s="64">
        <f t="shared" si="516"/>
        <v>0</v>
      </c>
      <c r="K766" s="64">
        <f t="shared" si="517"/>
        <v>20160</v>
      </c>
      <c r="L766" s="64">
        <f t="shared" si="518"/>
        <v>20160</v>
      </c>
      <c r="M766" s="73" t="s">
        <v>1658</v>
      </c>
      <c r="N766" s="19"/>
      <c r="Z766" s="35">
        <f t="shared" si="519"/>
        <v>0</v>
      </c>
      <c r="AB766" s="35">
        <f t="shared" si="520"/>
        <v>0</v>
      </c>
      <c r="AC766" s="35">
        <f t="shared" si="521"/>
        <v>20160</v>
      </c>
      <c r="AD766" s="35">
        <f t="shared" si="522"/>
        <v>0</v>
      </c>
      <c r="AE766" s="35">
        <f t="shared" si="523"/>
        <v>0</v>
      </c>
      <c r="AF766" s="35">
        <f t="shared" si="524"/>
        <v>0</v>
      </c>
      <c r="AG766" s="35">
        <f t="shared" si="525"/>
        <v>0</v>
      </c>
      <c r="AH766" s="35">
        <f t="shared" si="526"/>
        <v>0</v>
      </c>
      <c r="AI766" s="77" t="s">
        <v>73</v>
      </c>
      <c r="AJ766" s="64">
        <f t="shared" si="527"/>
        <v>0</v>
      </c>
      <c r="AK766" s="64">
        <f t="shared" si="528"/>
        <v>0</v>
      </c>
      <c r="AL766" s="64">
        <f t="shared" si="529"/>
        <v>20160</v>
      </c>
      <c r="AN766" s="35">
        <v>21</v>
      </c>
      <c r="AO766" s="35">
        <f t="shared" si="530"/>
        <v>0</v>
      </c>
      <c r="AP766" s="35">
        <f t="shared" si="531"/>
        <v>20160</v>
      </c>
      <c r="AQ766" s="78" t="s">
        <v>109</v>
      </c>
      <c r="AV766" s="35">
        <f t="shared" si="532"/>
        <v>20160</v>
      </c>
      <c r="AW766" s="35">
        <f t="shared" si="533"/>
        <v>0</v>
      </c>
      <c r="AX766" s="35">
        <f t="shared" si="534"/>
        <v>20160</v>
      </c>
      <c r="AY766" s="80" t="s">
        <v>1721</v>
      </c>
      <c r="AZ766" s="80" t="s">
        <v>1771</v>
      </c>
      <c r="BA766" s="77" t="s">
        <v>1721</v>
      </c>
      <c r="BC766" s="35">
        <f t="shared" si="535"/>
        <v>20160</v>
      </c>
      <c r="BD766" s="35">
        <f t="shared" si="536"/>
        <v>20160</v>
      </c>
      <c r="BE766" s="35">
        <v>0</v>
      </c>
      <c r="BF766" s="35">
        <f>766</f>
        <v>766</v>
      </c>
      <c r="BH766" s="64">
        <f t="shared" si="537"/>
        <v>0</v>
      </c>
      <c r="BI766" s="64">
        <f t="shared" si="538"/>
        <v>20160</v>
      </c>
      <c r="BJ766" s="64">
        <f t="shared" si="539"/>
        <v>20160</v>
      </c>
      <c r="BK766" s="64" t="s">
        <v>1790</v>
      </c>
      <c r="BL766" s="35" t="s">
        <v>73</v>
      </c>
    </row>
    <row r="767" spans="1:64">
      <c r="A767" s="50" t="s">
        <v>55</v>
      </c>
      <c r="B767" s="58" t="s">
        <v>73</v>
      </c>
      <c r="C767" s="58" t="s">
        <v>1116</v>
      </c>
      <c r="D767" s="174" t="s">
        <v>1628</v>
      </c>
      <c r="E767" s="175"/>
      <c r="F767" s="175"/>
      <c r="G767" s="58" t="s">
        <v>1648</v>
      </c>
      <c r="H767" s="66">
        <v>1</v>
      </c>
      <c r="I767" s="66">
        <v>7200</v>
      </c>
      <c r="J767" s="66">
        <f t="shared" si="516"/>
        <v>0</v>
      </c>
      <c r="K767" s="66">
        <f t="shared" si="517"/>
        <v>7200</v>
      </c>
      <c r="L767" s="66">
        <f t="shared" si="518"/>
        <v>7200</v>
      </c>
      <c r="M767" s="76" t="s">
        <v>1658</v>
      </c>
      <c r="N767" s="19"/>
      <c r="Z767" s="35">
        <f t="shared" si="519"/>
        <v>0</v>
      </c>
      <c r="AB767" s="35">
        <f t="shared" si="520"/>
        <v>0</v>
      </c>
      <c r="AC767" s="35">
        <f t="shared" si="521"/>
        <v>7200</v>
      </c>
      <c r="AD767" s="35">
        <f t="shared" si="522"/>
        <v>0</v>
      </c>
      <c r="AE767" s="35">
        <f t="shared" si="523"/>
        <v>0</v>
      </c>
      <c r="AF767" s="35">
        <f t="shared" si="524"/>
        <v>0</v>
      </c>
      <c r="AG767" s="35">
        <f t="shared" si="525"/>
        <v>0</v>
      </c>
      <c r="AH767" s="35">
        <f t="shared" si="526"/>
        <v>0</v>
      </c>
      <c r="AI767" s="77" t="s">
        <v>73</v>
      </c>
      <c r="AJ767" s="64">
        <f t="shared" si="527"/>
        <v>0</v>
      </c>
      <c r="AK767" s="64">
        <f t="shared" si="528"/>
        <v>0</v>
      </c>
      <c r="AL767" s="64">
        <f t="shared" si="529"/>
        <v>7200</v>
      </c>
      <c r="AN767" s="35">
        <v>21</v>
      </c>
      <c r="AO767" s="35">
        <f t="shared" si="530"/>
        <v>0</v>
      </c>
      <c r="AP767" s="35">
        <f t="shared" si="531"/>
        <v>7200</v>
      </c>
      <c r="AQ767" s="78" t="s">
        <v>109</v>
      </c>
      <c r="AV767" s="35">
        <f t="shared" si="532"/>
        <v>7200</v>
      </c>
      <c r="AW767" s="35">
        <f t="shared" si="533"/>
        <v>0</v>
      </c>
      <c r="AX767" s="35">
        <f t="shared" si="534"/>
        <v>7200</v>
      </c>
      <c r="AY767" s="80" t="s">
        <v>1721</v>
      </c>
      <c r="AZ767" s="80" t="s">
        <v>1771</v>
      </c>
      <c r="BA767" s="77" t="s">
        <v>1721</v>
      </c>
      <c r="BC767" s="35">
        <f t="shared" si="535"/>
        <v>7200</v>
      </c>
      <c r="BD767" s="35">
        <f t="shared" si="536"/>
        <v>7200</v>
      </c>
      <c r="BE767" s="35">
        <v>0</v>
      </c>
      <c r="BF767" s="35">
        <f>767</f>
        <v>767</v>
      </c>
      <c r="BH767" s="64">
        <f t="shared" si="537"/>
        <v>0</v>
      </c>
      <c r="BI767" s="64">
        <f t="shared" si="538"/>
        <v>7200</v>
      </c>
      <c r="BJ767" s="64">
        <f t="shared" si="539"/>
        <v>7200</v>
      </c>
      <c r="BK767" s="64" t="s">
        <v>1790</v>
      </c>
      <c r="BL767" s="35" t="s">
        <v>73</v>
      </c>
    </row>
    <row r="768" spans="1:64">
      <c r="A768" s="5"/>
      <c r="B768" s="5"/>
      <c r="C768" s="5"/>
      <c r="D768" s="5"/>
      <c r="E768" s="5"/>
      <c r="F768" s="5"/>
      <c r="G768" s="5"/>
      <c r="H768" s="5"/>
      <c r="I768" s="5"/>
      <c r="J768" s="155" t="s">
        <v>94</v>
      </c>
      <c r="K768" s="107"/>
      <c r="L768" s="40">
        <f>L13+L18+L21+L23+L50+L61+L79+L86+L88+L100+L109+L111+L114+L117+L121+L129+L142+L144+L151+L155+L158+L167+L174+L176+L179+L185+L187+L197+L199+L213+L221+L223+L231+L268+L275+L278+L285+L290+L303+L306+L310+L319+L344+L353+L359+L364+L373+L380+L395+L422+L427+L437+L458+L465+L491+L495+L520+L524+L527+L533+L548+L557+L565+L573+L575+L577+L581+L588+L596+L604+L610+L617+L619+L622+L628+L634+L643+L645+L650+L662+L664+L670+L676+L680+L685+L690+L694+L696+L698+L705+L709+L715+L726+L731+L754+L758</f>
        <v>8052118.4692350039</v>
      </c>
      <c r="M768" s="5"/>
    </row>
    <row r="769" spans="1:13" ht="11.25" customHeight="1">
      <c r="A769" s="27" t="s">
        <v>18</v>
      </c>
    </row>
    <row r="770" spans="1:13">
      <c r="A770" s="113"/>
      <c r="B770" s="105"/>
      <c r="C770" s="105"/>
      <c r="D770" s="105"/>
      <c r="E770" s="105"/>
      <c r="F770" s="105"/>
      <c r="G770" s="105"/>
      <c r="H770" s="105"/>
      <c r="I770" s="105"/>
      <c r="J770" s="105"/>
      <c r="K770" s="105"/>
      <c r="L770" s="105"/>
      <c r="M770" s="105"/>
    </row>
  </sheetData>
  <mergeCells count="786">
    <mergeCell ref="D765:F765"/>
    <mergeCell ref="D766:F766"/>
    <mergeCell ref="D767:F767"/>
    <mergeCell ref="J768:K768"/>
    <mergeCell ref="A770:M770"/>
    <mergeCell ref="D759:F759"/>
    <mergeCell ref="D760:F760"/>
    <mergeCell ref="D761:F761"/>
    <mergeCell ref="D762:F762"/>
    <mergeCell ref="D763:F763"/>
    <mergeCell ref="D764:F764"/>
    <mergeCell ref="D753:F753"/>
    <mergeCell ref="D754:F754"/>
    <mergeCell ref="D755:F755"/>
    <mergeCell ref="D756:F756"/>
    <mergeCell ref="D757:F757"/>
    <mergeCell ref="D758:F758"/>
    <mergeCell ref="D747:F747"/>
    <mergeCell ref="D748:F748"/>
    <mergeCell ref="D749:F749"/>
    <mergeCell ref="D750:F750"/>
    <mergeCell ref="D751:M751"/>
    <mergeCell ref="D752:F752"/>
    <mergeCell ref="D741:F741"/>
    <mergeCell ref="D742:F742"/>
    <mergeCell ref="D743:F743"/>
    <mergeCell ref="D744:F744"/>
    <mergeCell ref="D745:F745"/>
    <mergeCell ref="D746:F746"/>
    <mergeCell ref="D735:F735"/>
    <mergeCell ref="D736:F736"/>
    <mergeCell ref="D737:F737"/>
    <mergeCell ref="D738:F738"/>
    <mergeCell ref="D739:F739"/>
    <mergeCell ref="D740:F740"/>
    <mergeCell ref="D729:F729"/>
    <mergeCell ref="D730:F730"/>
    <mergeCell ref="D731:F731"/>
    <mergeCell ref="D732:F732"/>
    <mergeCell ref="D733:F733"/>
    <mergeCell ref="D734:F734"/>
    <mergeCell ref="D723:F723"/>
    <mergeCell ref="D724:F724"/>
    <mergeCell ref="D725:F725"/>
    <mergeCell ref="D726:F726"/>
    <mergeCell ref="D727:F727"/>
    <mergeCell ref="D728:M728"/>
    <mergeCell ref="D717:F717"/>
    <mergeCell ref="D718:F718"/>
    <mergeCell ref="D719:F719"/>
    <mergeCell ref="D720:F720"/>
    <mergeCell ref="D721:F721"/>
    <mergeCell ref="D722:F722"/>
    <mergeCell ref="D711:F711"/>
    <mergeCell ref="D712:F712"/>
    <mergeCell ref="D713:F713"/>
    <mergeCell ref="D714:F714"/>
    <mergeCell ref="D715:F715"/>
    <mergeCell ref="D716:F716"/>
    <mergeCell ref="D705:F705"/>
    <mergeCell ref="D706:F706"/>
    <mergeCell ref="D707:F707"/>
    <mergeCell ref="D708:F708"/>
    <mergeCell ref="D709:F709"/>
    <mergeCell ref="D710:F710"/>
    <mergeCell ref="D699:F699"/>
    <mergeCell ref="D700:F700"/>
    <mergeCell ref="D701:F701"/>
    <mergeCell ref="D702:F702"/>
    <mergeCell ref="D703:F703"/>
    <mergeCell ref="D704:F704"/>
    <mergeCell ref="D693:F693"/>
    <mergeCell ref="D694:F694"/>
    <mergeCell ref="D695:F695"/>
    <mergeCell ref="D696:F696"/>
    <mergeCell ref="D697:F697"/>
    <mergeCell ref="D698:F698"/>
    <mergeCell ref="D687:M687"/>
    <mergeCell ref="D688:F688"/>
    <mergeCell ref="D689:F689"/>
    <mergeCell ref="D690:F690"/>
    <mergeCell ref="D691:F691"/>
    <mergeCell ref="D692:F692"/>
    <mergeCell ref="D681:F681"/>
    <mergeCell ref="D682:F682"/>
    <mergeCell ref="D683:F683"/>
    <mergeCell ref="D684:F684"/>
    <mergeCell ref="D685:F685"/>
    <mergeCell ref="D686:F686"/>
    <mergeCell ref="D675:F675"/>
    <mergeCell ref="D676:F676"/>
    <mergeCell ref="D677:F677"/>
    <mergeCell ref="D678:F678"/>
    <mergeCell ref="D679:F679"/>
    <mergeCell ref="D680:F680"/>
    <mergeCell ref="D669:F669"/>
    <mergeCell ref="D670:F670"/>
    <mergeCell ref="D671:F671"/>
    <mergeCell ref="D672:F672"/>
    <mergeCell ref="D673:F673"/>
    <mergeCell ref="D674:F674"/>
    <mergeCell ref="D663:F663"/>
    <mergeCell ref="D664:F664"/>
    <mergeCell ref="D665:F665"/>
    <mergeCell ref="D666:F666"/>
    <mergeCell ref="D667:F667"/>
    <mergeCell ref="D668:F668"/>
    <mergeCell ref="D657:F657"/>
    <mergeCell ref="D658:F658"/>
    <mergeCell ref="D659:F659"/>
    <mergeCell ref="D660:F660"/>
    <mergeCell ref="D661:F661"/>
    <mergeCell ref="D662:F662"/>
    <mergeCell ref="D651:F651"/>
    <mergeCell ref="D652:F652"/>
    <mergeCell ref="D653:F653"/>
    <mergeCell ref="D654:F654"/>
    <mergeCell ref="D655:F655"/>
    <mergeCell ref="D656:F656"/>
    <mergeCell ref="D645:F645"/>
    <mergeCell ref="D646:F646"/>
    <mergeCell ref="D647:F647"/>
    <mergeCell ref="D648:F648"/>
    <mergeCell ref="D649:F649"/>
    <mergeCell ref="D650:F650"/>
    <mergeCell ref="D639:F639"/>
    <mergeCell ref="D640:F640"/>
    <mergeCell ref="D641:F641"/>
    <mergeCell ref="D642:F642"/>
    <mergeCell ref="D643:F643"/>
    <mergeCell ref="D644:F644"/>
    <mergeCell ref="D633:F633"/>
    <mergeCell ref="D634:F634"/>
    <mergeCell ref="D635:F635"/>
    <mergeCell ref="D636:F636"/>
    <mergeCell ref="D637:F637"/>
    <mergeCell ref="D638:F638"/>
    <mergeCell ref="D627:F627"/>
    <mergeCell ref="D628:F628"/>
    <mergeCell ref="D629:F629"/>
    <mergeCell ref="D630:F630"/>
    <mergeCell ref="D631:F631"/>
    <mergeCell ref="D632:F632"/>
    <mergeCell ref="D621:F621"/>
    <mergeCell ref="D622:F622"/>
    <mergeCell ref="D623:F623"/>
    <mergeCell ref="D624:F624"/>
    <mergeCell ref="D625:F625"/>
    <mergeCell ref="D626:F626"/>
    <mergeCell ref="D615:F615"/>
    <mergeCell ref="D616:F616"/>
    <mergeCell ref="D617:F617"/>
    <mergeCell ref="D618:F618"/>
    <mergeCell ref="D619:F619"/>
    <mergeCell ref="D620:F620"/>
    <mergeCell ref="D609:F609"/>
    <mergeCell ref="D610:F610"/>
    <mergeCell ref="D611:F611"/>
    <mergeCell ref="D612:M612"/>
    <mergeCell ref="D613:F613"/>
    <mergeCell ref="D614:M614"/>
    <mergeCell ref="D603:F603"/>
    <mergeCell ref="D604:F604"/>
    <mergeCell ref="D605:F605"/>
    <mergeCell ref="D606:F606"/>
    <mergeCell ref="D607:F607"/>
    <mergeCell ref="D608:F608"/>
    <mergeCell ref="D597:F597"/>
    <mergeCell ref="D598:M598"/>
    <mergeCell ref="D599:F599"/>
    <mergeCell ref="D600:F600"/>
    <mergeCell ref="D601:M601"/>
    <mergeCell ref="D602:F602"/>
    <mergeCell ref="D591:F591"/>
    <mergeCell ref="D592:F592"/>
    <mergeCell ref="D593:F593"/>
    <mergeCell ref="D594:M594"/>
    <mergeCell ref="D595:F595"/>
    <mergeCell ref="D596:F596"/>
    <mergeCell ref="D585:F585"/>
    <mergeCell ref="D586:F586"/>
    <mergeCell ref="D587:F587"/>
    <mergeCell ref="D588:F588"/>
    <mergeCell ref="D589:F589"/>
    <mergeCell ref="D590:M590"/>
    <mergeCell ref="D579:F579"/>
    <mergeCell ref="D580:F580"/>
    <mergeCell ref="D581:F581"/>
    <mergeCell ref="D582:F582"/>
    <mergeCell ref="D583:F583"/>
    <mergeCell ref="D584:M584"/>
    <mergeCell ref="D573:F573"/>
    <mergeCell ref="D574:F574"/>
    <mergeCell ref="D575:F575"/>
    <mergeCell ref="D576:F576"/>
    <mergeCell ref="D577:F577"/>
    <mergeCell ref="D578:F578"/>
    <mergeCell ref="D567:F567"/>
    <mergeCell ref="D568:F568"/>
    <mergeCell ref="D569:F569"/>
    <mergeCell ref="D570:F570"/>
    <mergeCell ref="D571:F571"/>
    <mergeCell ref="D572:F572"/>
    <mergeCell ref="D561:F561"/>
    <mergeCell ref="D562:F562"/>
    <mergeCell ref="D563:F563"/>
    <mergeCell ref="D564:F564"/>
    <mergeCell ref="D565:F565"/>
    <mergeCell ref="D566:F566"/>
    <mergeCell ref="D555:F555"/>
    <mergeCell ref="D556:M556"/>
    <mergeCell ref="D557:F557"/>
    <mergeCell ref="D558:F558"/>
    <mergeCell ref="D559:F559"/>
    <mergeCell ref="D560:F560"/>
    <mergeCell ref="D549:F549"/>
    <mergeCell ref="D550:F550"/>
    <mergeCell ref="D551:M551"/>
    <mergeCell ref="D552:F552"/>
    <mergeCell ref="D553:F553"/>
    <mergeCell ref="D554:F554"/>
    <mergeCell ref="D543:F543"/>
    <mergeCell ref="D544:F544"/>
    <mergeCell ref="D545:F545"/>
    <mergeCell ref="D546:F546"/>
    <mergeCell ref="D547:F547"/>
    <mergeCell ref="D548:F548"/>
    <mergeCell ref="D537:F537"/>
    <mergeCell ref="D538:F538"/>
    <mergeCell ref="D539:F539"/>
    <mergeCell ref="D540:F540"/>
    <mergeCell ref="D541:F541"/>
    <mergeCell ref="D542:F542"/>
    <mergeCell ref="D531:F531"/>
    <mergeCell ref="D532:F532"/>
    <mergeCell ref="D533:F533"/>
    <mergeCell ref="D534:F534"/>
    <mergeCell ref="D535:F535"/>
    <mergeCell ref="D536:F536"/>
    <mergeCell ref="D525:F525"/>
    <mergeCell ref="D526:F526"/>
    <mergeCell ref="D527:F527"/>
    <mergeCell ref="D528:F528"/>
    <mergeCell ref="D529:F529"/>
    <mergeCell ref="D530:F530"/>
    <mergeCell ref="D519:F519"/>
    <mergeCell ref="D520:F520"/>
    <mergeCell ref="D521:F521"/>
    <mergeCell ref="D522:F522"/>
    <mergeCell ref="D523:F523"/>
    <mergeCell ref="D524:F524"/>
    <mergeCell ref="D513:F513"/>
    <mergeCell ref="D514:F514"/>
    <mergeCell ref="D515:F515"/>
    <mergeCell ref="D516:F516"/>
    <mergeCell ref="D517:F517"/>
    <mergeCell ref="D518:F518"/>
    <mergeCell ref="D507:F507"/>
    <mergeCell ref="D508:F508"/>
    <mergeCell ref="D509:F509"/>
    <mergeCell ref="D510:F510"/>
    <mergeCell ref="D511:F511"/>
    <mergeCell ref="D512:F512"/>
    <mergeCell ref="D501:F501"/>
    <mergeCell ref="D502:F502"/>
    <mergeCell ref="D503:F503"/>
    <mergeCell ref="D504:F504"/>
    <mergeCell ref="D505:F505"/>
    <mergeCell ref="D506:F506"/>
    <mergeCell ref="D495:F495"/>
    <mergeCell ref="D496:F496"/>
    <mergeCell ref="D497:F497"/>
    <mergeCell ref="D498:F498"/>
    <mergeCell ref="D499:F499"/>
    <mergeCell ref="D500:F500"/>
    <mergeCell ref="D489:F489"/>
    <mergeCell ref="D490:F490"/>
    <mergeCell ref="D491:F491"/>
    <mergeCell ref="D492:F492"/>
    <mergeCell ref="D493:F493"/>
    <mergeCell ref="D494:F494"/>
    <mergeCell ref="D483:F483"/>
    <mergeCell ref="D484:F484"/>
    <mergeCell ref="D485:F485"/>
    <mergeCell ref="D486:F486"/>
    <mergeCell ref="D487:F487"/>
    <mergeCell ref="D488:F488"/>
    <mergeCell ref="D477:F477"/>
    <mergeCell ref="D478:F478"/>
    <mergeCell ref="D479:F479"/>
    <mergeCell ref="D480:F480"/>
    <mergeCell ref="D481:F481"/>
    <mergeCell ref="D482:F482"/>
    <mergeCell ref="D471:F471"/>
    <mergeCell ref="D472:F472"/>
    <mergeCell ref="D473:F473"/>
    <mergeCell ref="D474:F474"/>
    <mergeCell ref="D475:F475"/>
    <mergeCell ref="D476:F476"/>
    <mergeCell ref="D465:F465"/>
    <mergeCell ref="D466:F466"/>
    <mergeCell ref="D467:F467"/>
    <mergeCell ref="D468:F468"/>
    <mergeCell ref="D469:F469"/>
    <mergeCell ref="D470:F470"/>
    <mergeCell ref="D459:F459"/>
    <mergeCell ref="D460:F460"/>
    <mergeCell ref="D461:F461"/>
    <mergeCell ref="D462:F462"/>
    <mergeCell ref="D463:F463"/>
    <mergeCell ref="D464:F464"/>
    <mergeCell ref="D453:F453"/>
    <mergeCell ref="D454:F454"/>
    <mergeCell ref="D455:F455"/>
    <mergeCell ref="D456:F456"/>
    <mergeCell ref="D457:F457"/>
    <mergeCell ref="D458:F458"/>
    <mergeCell ref="D447:F447"/>
    <mergeCell ref="D448:F448"/>
    <mergeCell ref="D449:F449"/>
    <mergeCell ref="D450:F450"/>
    <mergeCell ref="D451:F451"/>
    <mergeCell ref="D452:F452"/>
    <mergeCell ref="D441:F441"/>
    <mergeCell ref="D442:F442"/>
    <mergeCell ref="D443:F443"/>
    <mergeCell ref="D444:F444"/>
    <mergeCell ref="D445:F445"/>
    <mergeCell ref="D446:F446"/>
    <mergeCell ref="D435:M435"/>
    <mergeCell ref="D436:F436"/>
    <mergeCell ref="D437:F437"/>
    <mergeCell ref="D438:F438"/>
    <mergeCell ref="D439:F439"/>
    <mergeCell ref="D440:F440"/>
    <mergeCell ref="D429:M429"/>
    <mergeCell ref="D430:F430"/>
    <mergeCell ref="D431:M431"/>
    <mergeCell ref="D432:F432"/>
    <mergeCell ref="D433:M433"/>
    <mergeCell ref="D434:F434"/>
    <mergeCell ref="D423:F423"/>
    <mergeCell ref="D424:M424"/>
    <mergeCell ref="D425:F425"/>
    <mergeCell ref="D426:M426"/>
    <mergeCell ref="D427:F427"/>
    <mergeCell ref="D428:F428"/>
    <mergeCell ref="D417:M417"/>
    <mergeCell ref="D418:F418"/>
    <mergeCell ref="D419:M419"/>
    <mergeCell ref="D420:F420"/>
    <mergeCell ref="D421:M421"/>
    <mergeCell ref="D422:F422"/>
    <mergeCell ref="D411:M411"/>
    <mergeCell ref="D412:F412"/>
    <mergeCell ref="D413:M413"/>
    <mergeCell ref="D414:F414"/>
    <mergeCell ref="D415:M415"/>
    <mergeCell ref="D416:F416"/>
    <mergeCell ref="D405:M405"/>
    <mergeCell ref="D406:F406"/>
    <mergeCell ref="D407:M407"/>
    <mergeCell ref="D408:F408"/>
    <mergeCell ref="D409:M409"/>
    <mergeCell ref="D410:F410"/>
    <mergeCell ref="D399:M399"/>
    <mergeCell ref="D400:F400"/>
    <mergeCell ref="D401:M401"/>
    <mergeCell ref="D402:F402"/>
    <mergeCell ref="D403:M403"/>
    <mergeCell ref="D404:F404"/>
    <mergeCell ref="D393:F393"/>
    <mergeCell ref="D394:M394"/>
    <mergeCell ref="D395:F395"/>
    <mergeCell ref="D396:F396"/>
    <mergeCell ref="D397:M397"/>
    <mergeCell ref="D398:F398"/>
    <mergeCell ref="D387:F387"/>
    <mergeCell ref="D388:M388"/>
    <mergeCell ref="D389:F389"/>
    <mergeCell ref="D390:M390"/>
    <mergeCell ref="D391:F391"/>
    <mergeCell ref="D392:M392"/>
    <mergeCell ref="D381:F381"/>
    <mergeCell ref="D382:M382"/>
    <mergeCell ref="D383:F383"/>
    <mergeCell ref="D384:M384"/>
    <mergeCell ref="D385:F385"/>
    <mergeCell ref="D386:M386"/>
    <mergeCell ref="D375:M375"/>
    <mergeCell ref="D376:F376"/>
    <mergeCell ref="D377:M377"/>
    <mergeCell ref="D378:F378"/>
    <mergeCell ref="D379:M379"/>
    <mergeCell ref="D380:F380"/>
    <mergeCell ref="D369:F369"/>
    <mergeCell ref="D370:M370"/>
    <mergeCell ref="D371:F371"/>
    <mergeCell ref="D372:M372"/>
    <mergeCell ref="D373:F373"/>
    <mergeCell ref="D374:F374"/>
    <mergeCell ref="D363:M363"/>
    <mergeCell ref="D364:F364"/>
    <mergeCell ref="D365:F365"/>
    <mergeCell ref="D366:M366"/>
    <mergeCell ref="D367:F367"/>
    <mergeCell ref="D368:M368"/>
    <mergeCell ref="D357:M357"/>
    <mergeCell ref="D358:F358"/>
    <mergeCell ref="D359:F359"/>
    <mergeCell ref="D360:F360"/>
    <mergeCell ref="D361:M361"/>
    <mergeCell ref="D362:F362"/>
    <mergeCell ref="D351:F351"/>
    <mergeCell ref="D352:M352"/>
    <mergeCell ref="D353:F353"/>
    <mergeCell ref="D354:F354"/>
    <mergeCell ref="D355:M355"/>
    <mergeCell ref="D356:F356"/>
    <mergeCell ref="D345:F345"/>
    <mergeCell ref="D346:M346"/>
    <mergeCell ref="D347:F347"/>
    <mergeCell ref="D348:M348"/>
    <mergeCell ref="D349:F349"/>
    <mergeCell ref="D350:M350"/>
    <mergeCell ref="D339:M339"/>
    <mergeCell ref="D340:F340"/>
    <mergeCell ref="D341:M341"/>
    <mergeCell ref="D342:F342"/>
    <mergeCell ref="D343:M343"/>
    <mergeCell ref="D344:F344"/>
    <mergeCell ref="D333:M333"/>
    <mergeCell ref="D334:F334"/>
    <mergeCell ref="D335:M335"/>
    <mergeCell ref="D336:F336"/>
    <mergeCell ref="D337:M337"/>
    <mergeCell ref="D338:F338"/>
    <mergeCell ref="D327:M327"/>
    <mergeCell ref="D328:F328"/>
    <mergeCell ref="D329:M329"/>
    <mergeCell ref="D330:F330"/>
    <mergeCell ref="D331:M331"/>
    <mergeCell ref="D332:F332"/>
    <mergeCell ref="D321:M321"/>
    <mergeCell ref="D322:F322"/>
    <mergeCell ref="D323:M323"/>
    <mergeCell ref="D324:F324"/>
    <mergeCell ref="D325:M325"/>
    <mergeCell ref="D326:F326"/>
    <mergeCell ref="D315:F315"/>
    <mergeCell ref="D316:M316"/>
    <mergeCell ref="D317:F317"/>
    <mergeCell ref="D318:M318"/>
    <mergeCell ref="D319:F319"/>
    <mergeCell ref="D320:F320"/>
    <mergeCell ref="D309:F309"/>
    <mergeCell ref="D310:F310"/>
    <mergeCell ref="D311:F311"/>
    <mergeCell ref="D312:M312"/>
    <mergeCell ref="D313:F313"/>
    <mergeCell ref="D314:M314"/>
    <mergeCell ref="D303:F303"/>
    <mergeCell ref="D304:F304"/>
    <mergeCell ref="D305:M305"/>
    <mergeCell ref="D306:F306"/>
    <mergeCell ref="D307:F307"/>
    <mergeCell ref="D308:M308"/>
    <mergeCell ref="D297:F297"/>
    <mergeCell ref="D298:M298"/>
    <mergeCell ref="D299:F299"/>
    <mergeCell ref="D300:M300"/>
    <mergeCell ref="D301:F301"/>
    <mergeCell ref="D302:M302"/>
    <mergeCell ref="D291:F291"/>
    <mergeCell ref="D292:M292"/>
    <mergeCell ref="D293:F293"/>
    <mergeCell ref="D294:M294"/>
    <mergeCell ref="D295:F295"/>
    <mergeCell ref="D296:M296"/>
    <mergeCell ref="D285:F285"/>
    <mergeCell ref="D286:F286"/>
    <mergeCell ref="D287:M287"/>
    <mergeCell ref="D288:F288"/>
    <mergeCell ref="D289:M289"/>
    <mergeCell ref="D290:F290"/>
    <mergeCell ref="D279:F279"/>
    <mergeCell ref="D280:M280"/>
    <mergeCell ref="D281:F281"/>
    <mergeCell ref="D282:M282"/>
    <mergeCell ref="D283:F283"/>
    <mergeCell ref="D284:M284"/>
    <mergeCell ref="D273:F273"/>
    <mergeCell ref="D274:M274"/>
    <mergeCell ref="D275:F275"/>
    <mergeCell ref="D276:F276"/>
    <mergeCell ref="D277:F277"/>
    <mergeCell ref="D278:F278"/>
    <mergeCell ref="D267:F267"/>
    <mergeCell ref="D268:F268"/>
    <mergeCell ref="D269:F269"/>
    <mergeCell ref="D270:M270"/>
    <mergeCell ref="D271:F271"/>
    <mergeCell ref="D272:M272"/>
    <mergeCell ref="D261:F261"/>
    <mergeCell ref="D262:F262"/>
    <mergeCell ref="D263:F263"/>
    <mergeCell ref="D264:F264"/>
    <mergeCell ref="D265:F265"/>
    <mergeCell ref="D266:F266"/>
    <mergeCell ref="D255:F255"/>
    <mergeCell ref="D256:F256"/>
    <mergeCell ref="D257:F257"/>
    <mergeCell ref="D258:F258"/>
    <mergeCell ref="D259:F259"/>
    <mergeCell ref="D260:F260"/>
    <mergeCell ref="D249:F249"/>
    <mergeCell ref="D250:F250"/>
    <mergeCell ref="D251:F251"/>
    <mergeCell ref="D252:F252"/>
    <mergeCell ref="D253:F253"/>
    <mergeCell ref="D254:F254"/>
    <mergeCell ref="D243:F243"/>
    <mergeCell ref="D244:F244"/>
    <mergeCell ref="D245:F245"/>
    <mergeCell ref="D246:F246"/>
    <mergeCell ref="D247:F247"/>
    <mergeCell ref="D248:F248"/>
    <mergeCell ref="D237:F237"/>
    <mergeCell ref="D238:F238"/>
    <mergeCell ref="D239:F239"/>
    <mergeCell ref="D240:F240"/>
    <mergeCell ref="D241:F241"/>
    <mergeCell ref="D242:F242"/>
    <mergeCell ref="D231:F231"/>
    <mergeCell ref="D232:F232"/>
    <mergeCell ref="D233:M233"/>
    <mergeCell ref="D234:F234"/>
    <mergeCell ref="D235:F235"/>
    <mergeCell ref="D236:F236"/>
    <mergeCell ref="D225:M225"/>
    <mergeCell ref="D226:F226"/>
    <mergeCell ref="D227:M227"/>
    <mergeCell ref="D228:F228"/>
    <mergeCell ref="D229:F229"/>
    <mergeCell ref="D230:F230"/>
    <mergeCell ref="D219:F219"/>
    <mergeCell ref="D220:F220"/>
    <mergeCell ref="D221:F221"/>
    <mergeCell ref="D222:F222"/>
    <mergeCell ref="D223:F223"/>
    <mergeCell ref="D224:F224"/>
    <mergeCell ref="D213:F213"/>
    <mergeCell ref="D214:F214"/>
    <mergeCell ref="D215:F215"/>
    <mergeCell ref="D216:F216"/>
    <mergeCell ref="D217:F217"/>
    <mergeCell ref="D218:F218"/>
    <mergeCell ref="D207:F207"/>
    <mergeCell ref="D208:F208"/>
    <mergeCell ref="D209:F209"/>
    <mergeCell ref="D210:F210"/>
    <mergeCell ref="D211:F211"/>
    <mergeCell ref="D212:F212"/>
    <mergeCell ref="D201:M201"/>
    <mergeCell ref="D202:F202"/>
    <mergeCell ref="D203:F203"/>
    <mergeCell ref="D204:F204"/>
    <mergeCell ref="D205:F205"/>
    <mergeCell ref="D206:F206"/>
    <mergeCell ref="D195:F195"/>
    <mergeCell ref="D196:F196"/>
    <mergeCell ref="D197:F197"/>
    <mergeCell ref="D198:F198"/>
    <mergeCell ref="D199:F199"/>
    <mergeCell ref="D200:F200"/>
    <mergeCell ref="D189:F189"/>
    <mergeCell ref="D190:F190"/>
    <mergeCell ref="D191:F191"/>
    <mergeCell ref="D192:F192"/>
    <mergeCell ref="D193:F193"/>
    <mergeCell ref="D194:F194"/>
    <mergeCell ref="D183:F183"/>
    <mergeCell ref="D184:M184"/>
    <mergeCell ref="D185:F185"/>
    <mergeCell ref="D186:F186"/>
    <mergeCell ref="D187:F187"/>
    <mergeCell ref="D188:F188"/>
    <mergeCell ref="D177:F177"/>
    <mergeCell ref="D178:M178"/>
    <mergeCell ref="D179:F179"/>
    <mergeCell ref="D180:F180"/>
    <mergeCell ref="D181:M181"/>
    <mergeCell ref="D182:F182"/>
    <mergeCell ref="D171:F171"/>
    <mergeCell ref="D172:F172"/>
    <mergeCell ref="D173:F173"/>
    <mergeCell ref="D174:F174"/>
    <mergeCell ref="D175:F175"/>
    <mergeCell ref="D176:F176"/>
    <mergeCell ref="D165:F165"/>
    <mergeCell ref="D166:F166"/>
    <mergeCell ref="D167:F167"/>
    <mergeCell ref="D168:F168"/>
    <mergeCell ref="D169:F169"/>
    <mergeCell ref="D170:F170"/>
    <mergeCell ref="D159:F159"/>
    <mergeCell ref="D160:M160"/>
    <mergeCell ref="D161:F161"/>
    <mergeCell ref="D162:F162"/>
    <mergeCell ref="D163:M163"/>
    <mergeCell ref="D164:F164"/>
    <mergeCell ref="D153:F153"/>
    <mergeCell ref="D154:F154"/>
    <mergeCell ref="D155:F155"/>
    <mergeCell ref="D156:F156"/>
    <mergeCell ref="D157:F157"/>
    <mergeCell ref="D158:F158"/>
    <mergeCell ref="D147:F147"/>
    <mergeCell ref="D148:F148"/>
    <mergeCell ref="D149:F149"/>
    <mergeCell ref="D150:F150"/>
    <mergeCell ref="D151:F151"/>
    <mergeCell ref="D152:F152"/>
    <mergeCell ref="D141:F141"/>
    <mergeCell ref="D142:F142"/>
    <mergeCell ref="D143:F143"/>
    <mergeCell ref="D144:F144"/>
    <mergeCell ref="D145:F145"/>
    <mergeCell ref="D146:F146"/>
    <mergeCell ref="D135:F135"/>
    <mergeCell ref="D136:F136"/>
    <mergeCell ref="D137:F137"/>
    <mergeCell ref="D138:F138"/>
    <mergeCell ref="D139:F139"/>
    <mergeCell ref="D140:F140"/>
    <mergeCell ref="D129:F129"/>
    <mergeCell ref="D130:F130"/>
    <mergeCell ref="D131:F131"/>
    <mergeCell ref="D132:F132"/>
    <mergeCell ref="D133:F133"/>
    <mergeCell ref="D134:F134"/>
    <mergeCell ref="D123:F123"/>
    <mergeCell ref="D124:F124"/>
    <mergeCell ref="D125:F125"/>
    <mergeCell ref="D126:F126"/>
    <mergeCell ref="D127:F127"/>
    <mergeCell ref="D128:F128"/>
    <mergeCell ref="D117:F117"/>
    <mergeCell ref="D118:F118"/>
    <mergeCell ref="D119:F119"/>
    <mergeCell ref="D120:F120"/>
    <mergeCell ref="D121:F121"/>
    <mergeCell ref="D122:F122"/>
    <mergeCell ref="D111:F111"/>
    <mergeCell ref="D112:F112"/>
    <mergeCell ref="D113:F113"/>
    <mergeCell ref="D114:F114"/>
    <mergeCell ref="D115:F115"/>
    <mergeCell ref="D116:F116"/>
    <mergeCell ref="D105:F105"/>
    <mergeCell ref="D106:F106"/>
    <mergeCell ref="D107:F107"/>
    <mergeCell ref="D108:F108"/>
    <mergeCell ref="D109:F109"/>
    <mergeCell ref="D110:F110"/>
    <mergeCell ref="D99:F99"/>
    <mergeCell ref="D100:F100"/>
    <mergeCell ref="D101:F101"/>
    <mergeCell ref="D102:F102"/>
    <mergeCell ref="D103:M103"/>
    <mergeCell ref="D104:F104"/>
    <mergeCell ref="D93:F93"/>
    <mergeCell ref="D94:F94"/>
    <mergeCell ref="D95:F95"/>
    <mergeCell ref="D96:F96"/>
    <mergeCell ref="D97:F97"/>
    <mergeCell ref="D98:F98"/>
    <mergeCell ref="D87:F87"/>
    <mergeCell ref="D88:F88"/>
    <mergeCell ref="D89:F89"/>
    <mergeCell ref="D90:F90"/>
    <mergeCell ref="D91:F91"/>
    <mergeCell ref="D92:F92"/>
    <mergeCell ref="D81:F81"/>
    <mergeCell ref="D82:F82"/>
    <mergeCell ref="D83:F83"/>
    <mergeCell ref="D84:F84"/>
    <mergeCell ref="D85:F85"/>
    <mergeCell ref="D86:F86"/>
    <mergeCell ref="D75:F75"/>
    <mergeCell ref="D76:F76"/>
    <mergeCell ref="D77:F77"/>
    <mergeCell ref="D78:F78"/>
    <mergeCell ref="D79:F79"/>
    <mergeCell ref="D80:F80"/>
    <mergeCell ref="D69:F69"/>
    <mergeCell ref="D70:F70"/>
    <mergeCell ref="D71:F71"/>
    <mergeCell ref="D72:F72"/>
    <mergeCell ref="D73:F73"/>
    <mergeCell ref="D74:F74"/>
    <mergeCell ref="D63:F63"/>
    <mergeCell ref="D64:F64"/>
    <mergeCell ref="D65:F65"/>
    <mergeCell ref="D66:F66"/>
    <mergeCell ref="D67:F67"/>
    <mergeCell ref="D68:F68"/>
    <mergeCell ref="D57:M57"/>
    <mergeCell ref="D58:F58"/>
    <mergeCell ref="D59:M59"/>
    <mergeCell ref="D60:F60"/>
    <mergeCell ref="D61:F61"/>
    <mergeCell ref="D62:F62"/>
    <mergeCell ref="D51:F51"/>
    <mergeCell ref="D52:F52"/>
    <mergeCell ref="D53:F53"/>
    <mergeCell ref="D54:F54"/>
    <mergeCell ref="D55:M55"/>
    <mergeCell ref="D56:F56"/>
    <mergeCell ref="D45:F45"/>
    <mergeCell ref="D46:M46"/>
    <mergeCell ref="D47:F47"/>
    <mergeCell ref="D48:M48"/>
    <mergeCell ref="D49:F49"/>
    <mergeCell ref="D50:F50"/>
    <mergeCell ref="D39:F39"/>
    <mergeCell ref="D40:M40"/>
    <mergeCell ref="D41:F41"/>
    <mergeCell ref="D42:M42"/>
    <mergeCell ref="D43:F43"/>
    <mergeCell ref="D44:F44"/>
    <mergeCell ref="D33:F33"/>
    <mergeCell ref="D34:M34"/>
    <mergeCell ref="D35:F35"/>
    <mergeCell ref="D36:M36"/>
    <mergeCell ref="D37:F37"/>
    <mergeCell ref="D38:F38"/>
    <mergeCell ref="D27:F27"/>
    <mergeCell ref="D28:F28"/>
    <mergeCell ref="D29:F29"/>
    <mergeCell ref="D30:M30"/>
    <mergeCell ref="D31:F31"/>
    <mergeCell ref="D32:M32"/>
    <mergeCell ref="D21:F21"/>
    <mergeCell ref="D22:F22"/>
    <mergeCell ref="D23:F23"/>
    <mergeCell ref="D24:F24"/>
    <mergeCell ref="D25:F25"/>
    <mergeCell ref="D26:F26"/>
    <mergeCell ref="D15:M15"/>
    <mergeCell ref="D16:F16"/>
    <mergeCell ref="D17:M17"/>
    <mergeCell ref="D18:F18"/>
    <mergeCell ref="D19:F19"/>
    <mergeCell ref="D20:M20"/>
    <mergeCell ref="D10:F10"/>
    <mergeCell ref="J10:L10"/>
    <mergeCell ref="D11:F11"/>
    <mergeCell ref="D12:F12"/>
    <mergeCell ref="D13:F13"/>
    <mergeCell ref="D14:F14"/>
    <mergeCell ref="A8:C9"/>
    <mergeCell ref="D8:D9"/>
    <mergeCell ref="E8:F9"/>
    <mergeCell ref="G8:H9"/>
    <mergeCell ref="I8:I9"/>
    <mergeCell ref="J8:M9"/>
    <mergeCell ref="A6:C7"/>
    <mergeCell ref="D6:D7"/>
    <mergeCell ref="E6:F7"/>
    <mergeCell ref="G6:H7"/>
    <mergeCell ref="I6:I7"/>
    <mergeCell ref="J6:M7"/>
    <mergeCell ref="A4:C5"/>
    <mergeCell ref="D4:D5"/>
    <mergeCell ref="E4:F5"/>
    <mergeCell ref="G4:H5"/>
    <mergeCell ref="I4:I5"/>
    <mergeCell ref="J4:M5"/>
    <mergeCell ref="A1:M1"/>
    <mergeCell ref="A2:C3"/>
    <mergeCell ref="D2:D3"/>
    <mergeCell ref="E2:F3"/>
    <mergeCell ref="G2:H3"/>
    <mergeCell ref="I2:I3"/>
    <mergeCell ref="J2:M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26"/>
  <sheetViews>
    <sheetView workbookViewId="0">
      <pane ySplit="10" topLeftCell="A11" activePane="bottomLeft" state="frozenSplit"/>
      <selection pane="bottomLeft" sqref="A1:H1"/>
    </sheetView>
  </sheetViews>
  <sheetFormatPr defaultColWidth="11.5703125" defaultRowHeight="12.75"/>
  <cols>
    <col min="1" max="2" width="9.140625" customWidth="1"/>
    <col min="3" max="3" width="13.28515625" customWidth="1"/>
    <col min="4" max="4" width="153.85546875" customWidth="1"/>
    <col min="5" max="5" width="14.5703125" customWidth="1"/>
    <col min="6" max="6" width="24.140625" customWidth="1"/>
    <col min="7" max="7" width="15.7109375" customWidth="1"/>
    <col min="8" max="8" width="18.140625" customWidth="1"/>
  </cols>
  <sheetData>
    <row r="1" spans="1:9" ht="72.95" customHeight="1">
      <c r="A1" s="139" t="s">
        <v>1792</v>
      </c>
      <c r="B1" s="101"/>
      <c r="C1" s="101"/>
      <c r="D1" s="101"/>
      <c r="E1" s="101"/>
      <c r="F1" s="101"/>
      <c r="G1" s="101"/>
      <c r="H1" s="101"/>
    </row>
    <row r="2" spans="1:9">
      <c r="A2" s="102" t="s">
        <v>0</v>
      </c>
      <c r="B2" s="103"/>
      <c r="C2" s="106" t="str">
        <f>'Stavební rozpočet'!D2</f>
        <v>Snížení energetické náročnosti MŠ Hrabinská Český Těšín</v>
      </c>
      <c r="D2" s="107"/>
      <c r="E2" s="109" t="s">
        <v>29</v>
      </c>
      <c r="F2" s="109" t="str">
        <f>'Stavební rozpočet'!J2</f>
        <v>Město Český Těšín</v>
      </c>
      <c r="G2" s="103"/>
      <c r="H2" s="140"/>
      <c r="I2" s="19"/>
    </row>
    <row r="3" spans="1:9">
      <c r="A3" s="104"/>
      <c r="B3" s="105"/>
      <c r="C3" s="108"/>
      <c r="D3" s="108"/>
      <c r="E3" s="105"/>
      <c r="F3" s="105"/>
      <c r="G3" s="105"/>
      <c r="H3" s="111"/>
      <c r="I3" s="19"/>
    </row>
    <row r="4" spans="1:9">
      <c r="A4" s="112" t="s">
        <v>1</v>
      </c>
      <c r="B4" s="105"/>
      <c r="C4" s="113" t="str">
        <f>'Stavební rozpočet'!D4</f>
        <v>Energetické úspory</v>
      </c>
      <c r="D4" s="105"/>
      <c r="E4" s="113" t="s">
        <v>30</v>
      </c>
      <c r="F4" s="113" t="str">
        <f>'Stavební rozpočet'!J4</f>
        <v>C.E.I.S. CZ s.r.o.</v>
      </c>
      <c r="G4" s="105"/>
      <c r="H4" s="111"/>
      <c r="I4" s="19"/>
    </row>
    <row r="5" spans="1:9">
      <c r="A5" s="104"/>
      <c r="B5" s="105"/>
      <c r="C5" s="105"/>
      <c r="D5" s="105"/>
      <c r="E5" s="105"/>
      <c r="F5" s="105"/>
      <c r="G5" s="105"/>
      <c r="H5" s="111"/>
      <c r="I5" s="19"/>
    </row>
    <row r="6" spans="1:9">
      <c r="A6" s="112" t="s">
        <v>2</v>
      </c>
      <c r="B6" s="105"/>
      <c r="C6" s="113" t="str">
        <f>'Stavební rozpočet'!D6</f>
        <v>Hrabinská 1016/51, Český Těšín</v>
      </c>
      <c r="D6" s="105"/>
      <c r="E6" s="113" t="s">
        <v>31</v>
      </c>
      <c r="F6" s="113" t="str">
        <f>'Stavební rozpočet'!J6</f>
        <v> </v>
      </c>
      <c r="G6" s="105"/>
      <c r="H6" s="111"/>
      <c r="I6" s="19"/>
    </row>
    <row r="7" spans="1:9">
      <c r="A7" s="104"/>
      <c r="B7" s="105"/>
      <c r="C7" s="105"/>
      <c r="D7" s="105"/>
      <c r="E7" s="105"/>
      <c r="F7" s="105"/>
      <c r="G7" s="105"/>
      <c r="H7" s="111"/>
      <c r="I7" s="19"/>
    </row>
    <row r="8" spans="1:9">
      <c r="A8" s="112" t="s">
        <v>33</v>
      </c>
      <c r="B8" s="105"/>
      <c r="C8" s="113" t="str">
        <f>'Stavební rozpočet'!J8</f>
        <v> </v>
      </c>
      <c r="D8" s="105"/>
      <c r="E8" s="113" t="s">
        <v>91</v>
      </c>
      <c r="F8" s="113" t="str">
        <f>'Stavební rozpočet'!G8</f>
        <v>20.12.2019</v>
      </c>
      <c r="G8" s="105"/>
      <c r="H8" s="111"/>
      <c r="I8" s="19"/>
    </row>
    <row r="9" spans="1:9">
      <c r="A9" s="141"/>
      <c r="B9" s="142"/>
      <c r="C9" s="142"/>
      <c r="D9" s="142"/>
      <c r="E9" s="142"/>
      <c r="F9" s="142"/>
      <c r="G9" s="142"/>
      <c r="H9" s="143"/>
      <c r="I9" s="19"/>
    </row>
    <row r="10" spans="1:9">
      <c r="A10" s="85" t="s">
        <v>234</v>
      </c>
      <c r="B10" s="88" t="s">
        <v>58</v>
      </c>
      <c r="C10" s="88" t="s">
        <v>98</v>
      </c>
      <c r="D10" s="176" t="s">
        <v>1120</v>
      </c>
      <c r="E10" s="177"/>
      <c r="F10" s="88" t="s">
        <v>1630</v>
      </c>
      <c r="G10" s="90" t="s">
        <v>1649</v>
      </c>
      <c r="H10" s="94" t="s">
        <v>2434</v>
      </c>
      <c r="I10" s="20"/>
    </row>
    <row r="11" spans="1:9">
      <c r="A11" s="86"/>
      <c r="B11" s="89"/>
      <c r="C11" s="89" t="s">
        <v>161</v>
      </c>
      <c r="D11" s="178" t="s">
        <v>211</v>
      </c>
      <c r="E11" s="179"/>
      <c r="F11" s="89"/>
      <c r="G11" s="91"/>
      <c r="H11" s="95"/>
      <c r="I11" s="19"/>
    </row>
    <row r="12" spans="1:9">
      <c r="A12" s="47" t="s">
        <v>109</v>
      </c>
      <c r="B12" s="55" t="s">
        <v>65</v>
      </c>
      <c r="C12" s="55" t="s">
        <v>961</v>
      </c>
      <c r="D12" s="165" t="s">
        <v>1419</v>
      </c>
      <c r="E12" s="166"/>
      <c r="F12" s="55" t="s">
        <v>1631</v>
      </c>
      <c r="G12" s="64">
        <v>226</v>
      </c>
      <c r="H12" s="96">
        <v>0</v>
      </c>
      <c r="I12" s="19"/>
    </row>
    <row r="13" spans="1:9">
      <c r="A13" s="47" t="s">
        <v>110</v>
      </c>
      <c r="B13" s="55" t="s">
        <v>65</v>
      </c>
      <c r="C13" s="55" t="s">
        <v>962</v>
      </c>
      <c r="D13" s="165" t="s">
        <v>1420</v>
      </c>
      <c r="E13" s="166"/>
      <c r="F13" s="55" t="s">
        <v>1633</v>
      </c>
      <c r="G13" s="64">
        <v>450</v>
      </c>
      <c r="H13" s="96">
        <v>0</v>
      </c>
      <c r="I13" s="19"/>
    </row>
    <row r="14" spans="1:9">
      <c r="A14" s="47" t="s">
        <v>99</v>
      </c>
      <c r="B14" s="55" t="s">
        <v>65</v>
      </c>
      <c r="C14" s="55" t="s">
        <v>963</v>
      </c>
      <c r="D14" s="165" t="s">
        <v>1421</v>
      </c>
      <c r="E14" s="166"/>
      <c r="F14" s="55" t="s">
        <v>1631</v>
      </c>
      <c r="G14" s="64">
        <v>8</v>
      </c>
      <c r="H14" s="96">
        <v>0</v>
      </c>
      <c r="I14" s="19"/>
    </row>
    <row r="15" spans="1:9">
      <c r="A15" s="47" t="s">
        <v>111</v>
      </c>
      <c r="B15" s="55" t="s">
        <v>65</v>
      </c>
      <c r="C15" s="55" t="s">
        <v>963</v>
      </c>
      <c r="D15" s="165" t="s">
        <v>1422</v>
      </c>
      <c r="E15" s="166"/>
      <c r="F15" s="55" t="s">
        <v>1631</v>
      </c>
      <c r="G15" s="64">
        <v>26</v>
      </c>
      <c r="H15" s="96">
        <v>0</v>
      </c>
      <c r="I15" s="19"/>
    </row>
    <row r="16" spans="1:9">
      <c r="A16" s="47" t="s">
        <v>112</v>
      </c>
      <c r="B16" s="55" t="s">
        <v>65</v>
      </c>
      <c r="C16" s="55" t="s">
        <v>963</v>
      </c>
      <c r="D16" s="165" t="s">
        <v>1423</v>
      </c>
      <c r="E16" s="166"/>
      <c r="F16" s="55" t="s">
        <v>1631</v>
      </c>
      <c r="G16" s="64">
        <v>32</v>
      </c>
      <c r="H16" s="96">
        <v>0</v>
      </c>
      <c r="I16" s="19"/>
    </row>
    <row r="17" spans="1:9">
      <c r="A17" s="47" t="s">
        <v>100</v>
      </c>
      <c r="B17" s="55" t="s">
        <v>65</v>
      </c>
      <c r="C17" s="55" t="s">
        <v>963</v>
      </c>
      <c r="D17" s="165" t="s">
        <v>1424</v>
      </c>
      <c r="E17" s="166"/>
      <c r="F17" s="55" t="s">
        <v>1631</v>
      </c>
      <c r="G17" s="64">
        <v>26</v>
      </c>
      <c r="H17" s="96">
        <v>0</v>
      </c>
      <c r="I17" s="19"/>
    </row>
    <row r="18" spans="1:9">
      <c r="A18" s="47" t="s">
        <v>235</v>
      </c>
      <c r="B18" s="55" t="s">
        <v>65</v>
      </c>
      <c r="C18" s="55" t="s">
        <v>963</v>
      </c>
      <c r="D18" s="165" t="s">
        <v>1425</v>
      </c>
      <c r="E18" s="166"/>
      <c r="F18" s="55" t="s">
        <v>1647</v>
      </c>
      <c r="G18" s="64">
        <v>80</v>
      </c>
      <c r="H18" s="96">
        <v>0</v>
      </c>
      <c r="I18" s="19"/>
    </row>
    <row r="19" spans="1:9">
      <c r="A19" s="47" t="s">
        <v>113</v>
      </c>
      <c r="B19" s="55" t="s">
        <v>65</v>
      </c>
      <c r="C19" s="55" t="s">
        <v>963</v>
      </c>
      <c r="D19" s="165" t="s">
        <v>1426</v>
      </c>
      <c r="E19" s="166"/>
      <c r="F19" s="55" t="s">
        <v>1647</v>
      </c>
      <c r="G19" s="64">
        <v>16</v>
      </c>
      <c r="H19" s="96">
        <v>0</v>
      </c>
      <c r="I19" s="19"/>
    </row>
    <row r="20" spans="1:9">
      <c r="A20" s="47" t="s">
        <v>104</v>
      </c>
      <c r="B20" s="55" t="s">
        <v>65</v>
      </c>
      <c r="C20" s="55" t="s">
        <v>963</v>
      </c>
      <c r="D20" s="165" t="s">
        <v>1427</v>
      </c>
      <c r="E20" s="166"/>
      <c r="F20" s="55" t="s">
        <v>1647</v>
      </c>
      <c r="G20" s="64">
        <v>8</v>
      </c>
      <c r="H20" s="96">
        <v>0</v>
      </c>
      <c r="I20" s="19"/>
    </row>
    <row r="21" spans="1:9">
      <c r="A21" s="47" t="s">
        <v>236</v>
      </c>
      <c r="B21" s="55" t="s">
        <v>65</v>
      </c>
      <c r="C21" s="55" t="s">
        <v>964</v>
      </c>
      <c r="D21" s="165" t="s">
        <v>1428</v>
      </c>
      <c r="E21" s="166"/>
      <c r="F21" s="55" t="s">
        <v>1647</v>
      </c>
      <c r="G21" s="64">
        <v>8</v>
      </c>
      <c r="H21" s="96">
        <v>0</v>
      </c>
      <c r="I21" s="19"/>
    </row>
    <row r="22" spans="1:9">
      <c r="A22" s="47" t="s">
        <v>167</v>
      </c>
      <c r="B22" s="55" t="s">
        <v>65</v>
      </c>
      <c r="C22" s="55" t="s">
        <v>963</v>
      </c>
      <c r="D22" s="165" t="s">
        <v>1429</v>
      </c>
      <c r="E22" s="166"/>
      <c r="F22" s="55" t="s">
        <v>1647</v>
      </c>
      <c r="G22" s="64">
        <v>8</v>
      </c>
      <c r="H22" s="96">
        <v>0</v>
      </c>
      <c r="I22" s="19"/>
    </row>
    <row r="23" spans="1:9">
      <c r="A23" s="48" t="s">
        <v>168</v>
      </c>
      <c r="B23" s="56" t="s">
        <v>65</v>
      </c>
      <c r="C23" s="56" t="s">
        <v>965</v>
      </c>
      <c r="D23" s="170" t="s">
        <v>1430</v>
      </c>
      <c r="E23" s="171"/>
      <c r="F23" s="56" t="s">
        <v>1631</v>
      </c>
      <c r="G23" s="65">
        <v>8</v>
      </c>
      <c r="H23" s="97">
        <v>0</v>
      </c>
      <c r="I23" s="19"/>
    </row>
    <row r="24" spans="1:9">
      <c r="A24" s="47" t="s">
        <v>164</v>
      </c>
      <c r="B24" s="55" t="s">
        <v>65</v>
      </c>
      <c r="C24" s="55" t="s">
        <v>966</v>
      </c>
      <c r="D24" s="165" t="s">
        <v>1431</v>
      </c>
      <c r="E24" s="166"/>
      <c r="F24" s="55" t="s">
        <v>1631</v>
      </c>
      <c r="G24" s="64">
        <v>350</v>
      </c>
      <c r="H24" s="96">
        <v>0</v>
      </c>
      <c r="I24" s="19"/>
    </row>
    <row r="25" spans="1:9">
      <c r="A25" s="48" t="s">
        <v>237</v>
      </c>
      <c r="B25" s="56" t="s">
        <v>65</v>
      </c>
      <c r="C25" s="56" t="s">
        <v>967</v>
      </c>
      <c r="D25" s="170" t="s">
        <v>1432</v>
      </c>
      <c r="E25" s="171"/>
      <c r="F25" s="56" t="s">
        <v>1631</v>
      </c>
      <c r="G25" s="65">
        <v>200</v>
      </c>
      <c r="H25" s="97">
        <v>0</v>
      </c>
      <c r="I25" s="19"/>
    </row>
    <row r="26" spans="1:9">
      <c r="A26" s="47" t="s">
        <v>238</v>
      </c>
      <c r="B26" s="55" t="s">
        <v>65</v>
      </c>
      <c r="C26" s="55" t="s">
        <v>968</v>
      </c>
      <c r="D26" s="165" t="s">
        <v>1433</v>
      </c>
      <c r="E26" s="166"/>
      <c r="F26" s="55" t="s">
        <v>1633</v>
      </c>
      <c r="G26" s="64">
        <v>450</v>
      </c>
      <c r="H26" s="96">
        <v>0</v>
      </c>
      <c r="I26" s="19"/>
    </row>
    <row r="27" spans="1:9">
      <c r="A27" s="47" t="s">
        <v>169</v>
      </c>
      <c r="B27" s="55" t="s">
        <v>65</v>
      </c>
      <c r="C27" s="55" t="s">
        <v>963</v>
      </c>
      <c r="D27" s="165" t="s">
        <v>1434</v>
      </c>
      <c r="E27" s="166"/>
      <c r="F27" s="55" t="s">
        <v>1631</v>
      </c>
      <c r="G27" s="64">
        <v>26</v>
      </c>
      <c r="H27" s="96">
        <v>0</v>
      </c>
      <c r="I27" s="19"/>
    </row>
    <row r="28" spans="1:9">
      <c r="A28" s="47" t="s">
        <v>170</v>
      </c>
      <c r="B28" s="55" t="s">
        <v>65</v>
      </c>
      <c r="C28" s="55" t="s">
        <v>963</v>
      </c>
      <c r="D28" s="165" t="s">
        <v>1435</v>
      </c>
      <c r="E28" s="166"/>
      <c r="F28" s="55" t="s">
        <v>1631</v>
      </c>
      <c r="G28" s="64">
        <v>32</v>
      </c>
      <c r="H28" s="96">
        <v>0</v>
      </c>
      <c r="I28" s="19"/>
    </row>
    <row r="29" spans="1:9">
      <c r="A29" s="47" t="s">
        <v>171</v>
      </c>
      <c r="B29" s="55" t="s">
        <v>65</v>
      </c>
      <c r="C29" s="55" t="s">
        <v>963</v>
      </c>
      <c r="D29" s="165" t="s">
        <v>1436</v>
      </c>
      <c r="E29" s="166"/>
      <c r="F29" s="55" t="s">
        <v>1631</v>
      </c>
      <c r="G29" s="64">
        <v>26</v>
      </c>
      <c r="H29" s="96">
        <v>0</v>
      </c>
      <c r="I29" s="19"/>
    </row>
    <row r="30" spans="1:9">
      <c r="A30" s="47" t="s">
        <v>239</v>
      </c>
      <c r="B30" s="55" t="s">
        <v>65</v>
      </c>
      <c r="C30" s="55" t="s">
        <v>963</v>
      </c>
      <c r="D30" s="165" t="s">
        <v>1437</v>
      </c>
      <c r="E30" s="166"/>
      <c r="F30" s="55" t="s">
        <v>1631</v>
      </c>
      <c r="G30" s="64">
        <v>16</v>
      </c>
      <c r="H30" s="96">
        <v>0</v>
      </c>
      <c r="I30" s="19"/>
    </row>
    <row r="31" spans="1:9">
      <c r="A31" s="47" t="s">
        <v>240</v>
      </c>
      <c r="B31" s="55" t="s">
        <v>65</v>
      </c>
      <c r="C31" s="55" t="s">
        <v>963</v>
      </c>
      <c r="D31" s="165" t="s">
        <v>1438</v>
      </c>
      <c r="E31" s="166"/>
      <c r="F31" s="55" t="s">
        <v>1631</v>
      </c>
      <c r="G31" s="64">
        <v>1</v>
      </c>
      <c r="H31" s="96">
        <v>0</v>
      </c>
      <c r="I31" s="19"/>
    </row>
    <row r="32" spans="1:9">
      <c r="A32" s="47" t="s">
        <v>172</v>
      </c>
      <c r="B32" s="55" t="s">
        <v>66</v>
      </c>
      <c r="C32" s="55" t="s">
        <v>974</v>
      </c>
      <c r="D32" s="165" t="s">
        <v>1444</v>
      </c>
      <c r="E32" s="166"/>
      <c r="F32" s="55" t="s">
        <v>1633</v>
      </c>
      <c r="G32" s="64">
        <v>440</v>
      </c>
      <c r="H32" s="96">
        <v>0</v>
      </c>
      <c r="I32" s="19"/>
    </row>
    <row r="33" spans="1:9">
      <c r="A33" s="47" t="s">
        <v>241</v>
      </c>
      <c r="B33" s="55" t="s">
        <v>66</v>
      </c>
      <c r="C33" s="55" t="s">
        <v>975</v>
      </c>
      <c r="D33" s="165" t="s">
        <v>1445</v>
      </c>
      <c r="E33" s="166"/>
      <c r="F33" s="55" t="s">
        <v>1631</v>
      </c>
      <c r="G33" s="64">
        <v>40</v>
      </c>
      <c r="H33" s="96">
        <v>0</v>
      </c>
      <c r="I33" s="19"/>
    </row>
    <row r="34" spans="1:9">
      <c r="A34" s="47" t="s">
        <v>242</v>
      </c>
      <c r="B34" s="55" t="s">
        <v>66</v>
      </c>
      <c r="C34" s="55" t="s">
        <v>976</v>
      </c>
      <c r="D34" s="165" t="s">
        <v>1446</v>
      </c>
      <c r="E34" s="166"/>
      <c r="F34" s="55" t="s">
        <v>1633</v>
      </c>
      <c r="G34" s="64">
        <v>1070</v>
      </c>
      <c r="H34" s="96">
        <v>0</v>
      </c>
      <c r="I34" s="19"/>
    </row>
    <row r="35" spans="1:9">
      <c r="A35" s="47" t="s">
        <v>243</v>
      </c>
      <c r="B35" s="55" t="s">
        <v>66</v>
      </c>
      <c r="C35" s="55" t="s">
        <v>977</v>
      </c>
      <c r="D35" s="165" t="s">
        <v>1447</v>
      </c>
      <c r="E35" s="166"/>
      <c r="F35" s="55" t="s">
        <v>1631</v>
      </c>
      <c r="G35" s="64">
        <v>129</v>
      </c>
      <c r="H35" s="96">
        <v>0</v>
      </c>
      <c r="I35" s="19"/>
    </row>
    <row r="36" spans="1:9">
      <c r="A36" s="47" t="s">
        <v>244</v>
      </c>
      <c r="B36" s="55" t="s">
        <v>66</v>
      </c>
      <c r="C36" s="55" t="s">
        <v>978</v>
      </c>
      <c r="D36" s="165" t="s">
        <v>1448</v>
      </c>
      <c r="E36" s="166"/>
      <c r="F36" s="55" t="s">
        <v>1631</v>
      </c>
      <c r="G36" s="64">
        <v>40</v>
      </c>
      <c r="H36" s="96">
        <v>0</v>
      </c>
      <c r="I36" s="19"/>
    </row>
    <row r="37" spans="1:9">
      <c r="A37" s="47" t="s">
        <v>245</v>
      </c>
      <c r="B37" s="55" t="s">
        <v>66</v>
      </c>
      <c r="C37" s="55" t="s">
        <v>963</v>
      </c>
      <c r="D37" s="165" t="s">
        <v>1449</v>
      </c>
      <c r="E37" s="166"/>
      <c r="F37" s="55" t="s">
        <v>1636</v>
      </c>
      <c r="G37" s="64">
        <v>121</v>
      </c>
      <c r="H37" s="96">
        <v>0</v>
      </c>
      <c r="I37" s="19"/>
    </row>
    <row r="38" spans="1:9">
      <c r="A38" s="47" t="s">
        <v>165</v>
      </c>
      <c r="B38" s="55" t="s">
        <v>66</v>
      </c>
      <c r="C38" s="55" t="s">
        <v>963</v>
      </c>
      <c r="D38" s="165" t="s">
        <v>1450</v>
      </c>
      <c r="E38" s="166"/>
      <c r="F38" s="55" t="s">
        <v>1631</v>
      </c>
      <c r="G38" s="64">
        <v>7</v>
      </c>
      <c r="H38" s="96">
        <v>0</v>
      </c>
      <c r="I38" s="19"/>
    </row>
    <row r="39" spans="1:9">
      <c r="A39" s="47" t="s">
        <v>246</v>
      </c>
      <c r="B39" s="55" t="s">
        <v>66</v>
      </c>
      <c r="C39" s="55" t="s">
        <v>963</v>
      </c>
      <c r="D39" s="165" t="s">
        <v>1451</v>
      </c>
      <c r="E39" s="166"/>
      <c r="F39" s="55" t="s">
        <v>1647</v>
      </c>
      <c r="G39" s="64">
        <v>120</v>
      </c>
      <c r="H39" s="96">
        <v>0</v>
      </c>
      <c r="I39" s="19"/>
    </row>
    <row r="40" spans="1:9">
      <c r="A40" s="47" t="s">
        <v>247</v>
      </c>
      <c r="B40" s="55" t="s">
        <v>66</v>
      </c>
      <c r="C40" s="55" t="s">
        <v>963</v>
      </c>
      <c r="D40" s="165" t="s">
        <v>1452</v>
      </c>
      <c r="E40" s="166"/>
      <c r="F40" s="55" t="s">
        <v>1647</v>
      </c>
      <c r="G40" s="64">
        <v>8</v>
      </c>
      <c r="H40" s="96">
        <v>0</v>
      </c>
      <c r="I40" s="19"/>
    </row>
    <row r="41" spans="1:9">
      <c r="A41" s="47" t="s">
        <v>248</v>
      </c>
      <c r="B41" s="55" t="s">
        <v>66</v>
      </c>
      <c r="C41" s="55" t="s">
        <v>963</v>
      </c>
      <c r="D41" s="165" t="s">
        <v>1453</v>
      </c>
      <c r="E41" s="166"/>
      <c r="F41" s="55" t="s">
        <v>1647</v>
      </c>
      <c r="G41" s="64">
        <v>8</v>
      </c>
      <c r="H41" s="96">
        <v>0</v>
      </c>
      <c r="I41" s="19"/>
    </row>
    <row r="42" spans="1:9">
      <c r="A42" s="47" t="s">
        <v>131</v>
      </c>
      <c r="B42" s="55" t="s">
        <v>66</v>
      </c>
      <c r="C42" s="55" t="s">
        <v>964</v>
      </c>
      <c r="D42" s="165" t="s">
        <v>1428</v>
      </c>
      <c r="E42" s="166"/>
      <c r="F42" s="55" t="s">
        <v>1647</v>
      </c>
      <c r="G42" s="64">
        <v>8</v>
      </c>
      <c r="H42" s="96">
        <v>0</v>
      </c>
      <c r="I42" s="19"/>
    </row>
    <row r="43" spans="1:9">
      <c r="A43" s="47" t="s">
        <v>249</v>
      </c>
      <c r="B43" s="55" t="s">
        <v>66</v>
      </c>
      <c r="C43" s="55" t="s">
        <v>963</v>
      </c>
      <c r="D43" s="165" t="s">
        <v>1429</v>
      </c>
      <c r="E43" s="166"/>
      <c r="F43" s="55" t="s">
        <v>1647</v>
      </c>
      <c r="G43" s="64">
        <v>16</v>
      </c>
      <c r="H43" s="96">
        <v>0</v>
      </c>
      <c r="I43" s="19"/>
    </row>
    <row r="44" spans="1:9">
      <c r="A44" s="48" t="s">
        <v>250</v>
      </c>
      <c r="B44" s="56" t="s">
        <v>66</v>
      </c>
      <c r="C44" s="56" t="s">
        <v>979</v>
      </c>
      <c r="D44" s="170" t="s">
        <v>1454</v>
      </c>
      <c r="E44" s="171"/>
      <c r="F44" s="56" t="s">
        <v>1633</v>
      </c>
      <c r="G44" s="65">
        <v>320</v>
      </c>
      <c r="H44" s="97">
        <v>0</v>
      </c>
      <c r="I44" s="19"/>
    </row>
    <row r="45" spans="1:9">
      <c r="A45" s="48" t="s">
        <v>251</v>
      </c>
      <c r="B45" s="56" t="s">
        <v>66</v>
      </c>
      <c r="C45" s="56" t="s">
        <v>979</v>
      </c>
      <c r="D45" s="170" t="s">
        <v>1455</v>
      </c>
      <c r="E45" s="171"/>
      <c r="F45" s="56" t="s">
        <v>1633</v>
      </c>
      <c r="G45" s="65">
        <v>120</v>
      </c>
      <c r="H45" s="97">
        <v>0</v>
      </c>
      <c r="I45" s="19"/>
    </row>
    <row r="46" spans="1:9">
      <c r="A46" s="48" t="s">
        <v>252</v>
      </c>
      <c r="B46" s="56" t="s">
        <v>66</v>
      </c>
      <c r="C46" s="56" t="s">
        <v>980</v>
      </c>
      <c r="D46" s="170" t="s">
        <v>1456</v>
      </c>
      <c r="E46" s="171"/>
      <c r="F46" s="56" t="s">
        <v>1631</v>
      </c>
      <c r="G46" s="65">
        <v>40</v>
      </c>
      <c r="H46" s="97">
        <v>0</v>
      </c>
      <c r="I46" s="19"/>
    </row>
    <row r="47" spans="1:9">
      <c r="A47" s="48" t="s">
        <v>253</v>
      </c>
      <c r="B47" s="56" t="s">
        <v>66</v>
      </c>
      <c r="C47" s="56" t="s">
        <v>981</v>
      </c>
      <c r="D47" s="170" t="s">
        <v>1457</v>
      </c>
      <c r="E47" s="171"/>
      <c r="F47" s="56" t="s">
        <v>1633</v>
      </c>
      <c r="G47" s="65">
        <v>950</v>
      </c>
      <c r="H47" s="97">
        <v>0</v>
      </c>
      <c r="I47" s="19"/>
    </row>
    <row r="48" spans="1:9">
      <c r="A48" s="48" t="s">
        <v>254</v>
      </c>
      <c r="B48" s="56" t="s">
        <v>66</v>
      </c>
      <c r="C48" s="56" t="s">
        <v>982</v>
      </c>
      <c r="D48" s="170" t="s">
        <v>1458</v>
      </c>
      <c r="E48" s="171"/>
      <c r="F48" s="56" t="s">
        <v>1633</v>
      </c>
      <c r="G48" s="65">
        <v>120</v>
      </c>
      <c r="H48" s="97">
        <v>0</v>
      </c>
      <c r="I48" s="19"/>
    </row>
    <row r="49" spans="1:9">
      <c r="A49" s="47" t="s">
        <v>255</v>
      </c>
      <c r="B49" s="55" t="s">
        <v>66</v>
      </c>
      <c r="C49" s="55" t="s">
        <v>963</v>
      </c>
      <c r="D49" s="165" t="s">
        <v>1459</v>
      </c>
      <c r="E49" s="166"/>
      <c r="F49" s="55" t="s">
        <v>1636</v>
      </c>
      <c r="G49" s="64">
        <v>7</v>
      </c>
      <c r="H49" s="96">
        <v>0</v>
      </c>
      <c r="I49" s="19"/>
    </row>
    <row r="50" spans="1:9">
      <c r="A50" s="47" t="s">
        <v>256</v>
      </c>
      <c r="B50" s="55" t="s">
        <v>66</v>
      </c>
      <c r="C50" s="55" t="s">
        <v>963</v>
      </c>
      <c r="D50" s="165" t="s">
        <v>1460</v>
      </c>
      <c r="E50" s="166"/>
      <c r="F50" s="55" t="s">
        <v>1636</v>
      </c>
      <c r="G50" s="64">
        <v>72</v>
      </c>
      <c r="H50" s="96">
        <v>0</v>
      </c>
      <c r="I50" s="19"/>
    </row>
    <row r="51" spans="1:9">
      <c r="A51" s="47" t="s">
        <v>257</v>
      </c>
      <c r="B51" s="55" t="s">
        <v>66</v>
      </c>
      <c r="C51" s="55" t="s">
        <v>963</v>
      </c>
      <c r="D51" s="165" t="s">
        <v>1461</v>
      </c>
      <c r="E51" s="166"/>
      <c r="F51" s="55" t="s">
        <v>1636</v>
      </c>
      <c r="G51" s="64">
        <v>26</v>
      </c>
      <c r="H51" s="96">
        <v>0</v>
      </c>
      <c r="I51" s="19"/>
    </row>
    <row r="52" spans="1:9">
      <c r="A52" s="47" t="s">
        <v>258</v>
      </c>
      <c r="B52" s="55" t="s">
        <v>66</v>
      </c>
      <c r="C52" s="55" t="s">
        <v>963</v>
      </c>
      <c r="D52" s="165" t="s">
        <v>1462</v>
      </c>
      <c r="E52" s="166"/>
      <c r="F52" s="55" t="s">
        <v>1636</v>
      </c>
      <c r="G52" s="64">
        <v>7</v>
      </c>
      <c r="H52" s="96">
        <v>0</v>
      </c>
      <c r="I52" s="19"/>
    </row>
    <row r="53" spans="1:9">
      <c r="A53" s="47" t="s">
        <v>259</v>
      </c>
      <c r="B53" s="55" t="s">
        <v>66</v>
      </c>
      <c r="C53" s="55" t="s">
        <v>963</v>
      </c>
      <c r="D53" s="165" t="s">
        <v>1463</v>
      </c>
      <c r="E53" s="166"/>
      <c r="F53" s="55" t="s">
        <v>1636</v>
      </c>
      <c r="G53" s="64">
        <v>24</v>
      </c>
      <c r="H53" s="96">
        <v>0</v>
      </c>
      <c r="I53" s="19"/>
    </row>
    <row r="54" spans="1:9">
      <c r="A54" s="47" t="s">
        <v>166</v>
      </c>
      <c r="B54" s="55" t="s">
        <v>66</v>
      </c>
      <c r="C54" s="55" t="s">
        <v>963</v>
      </c>
      <c r="D54" s="165" t="s">
        <v>1464</v>
      </c>
      <c r="E54" s="166"/>
      <c r="F54" s="55" t="s">
        <v>1636</v>
      </c>
      <c r="G54" s="64">
        <v>9</v>
      </c>
      <c r="H54" s="96">
        <v>0</v>
      </c>
      <c r="I54" s="19"/>
    </row>
    <row r="55" spans="1:9">
      <c r="A55" s="47" t="s">
        <v>260</v>
      </c>
      <c r="B55" s="55" t="s">
        <v>66</v>
      </c>
      <c r="C55" s="55" t="s">
        <v>963</v>
      </c>
      <c r="D55" s="165" t="s">
        <v>1465</v>
      </c>
      <c r="E55" s="166"/>
      <c r="F55" s="55" t="s">
        <v>1636</v>
      </c>
      <c r="G55" s="64">
        <v>7</v>
      </c>
      <c r="H55" s="96">
        <v>0</v>
      </c>
      <c r="I55" s="19"/>
    </row>
    <row r="56" spans="1:9">
      <c r="A56" s="47" t="s">
        <v>173</v>
      </c>
      <c r="B56" s="55" t="s">
        <v>66</v>
      </c>
      <c r="C56" s="55" t="s">
        <v>963</v>
      </c>
      <c r="D56" s="165" t="s">
        <v>1466</v>
      </c>
      <c r="E56" s="166"/>
      <c r="F56" s="55" t="s">
        <v>1636</v>
      </c>
      <c r="G56" s="64">
        <v>24</v>
      </c>
      <c r="H56" s="96">
        <v>0</v>
      </c>
      <c r="I56" s="19"/>
    </row>
    <row r="57" spans="1:9">
      <c r="A57" s="47" t="s">
        <v>261</v>
      </c>
      <c r="B57" s="55" t="s">
        <v>67</v>
      </c>
      <c r="C57" s="55" t="s">
        <v>974</v>
      </c>
      <c r="D57" s="165" t="s">
        <v>1444</v>
      </c>
      <c r="E57" s="166"/>
      <c r="F57" s="55" t="s">
        <v>1633</v>
      </c>
      <c r="G57" s="64">
        <v>260</v>
      </c>
      <c r="H57" s="96">
        <v>0</v>
      </c>
      <c r="I57" s="19"/>
    </row>
    <row r="58" spans="1:9">
      <c r="A58" s="47" t="s">
        <v>262</v>
      </c>
      <c r="B58" s="55" t="s">
        <v>67</v>
      </c>
      <c r="C58" s="55" t="s">
        <v>975</v>
      </c>
      <c r="D58" s="165" t="s">
        <v>1445</v>
      </c>
      <c r="E58" s="166"/>
      <c r="F58" s="55" t="s">
        <v>1631</v>
      </c>
      <c r="G58" s="64">
        <v>10</v>
      </c>
      <c r="H58" s="96">
        <v>0</v>
      </c>
      <c r="I58" s="19"/>
    </row>
    <row r="59" spans="1:9">
      <c r="A59" s="47" t="s">
        <v>263</v>
      </c>
      <c r="B59" s="55" t="s">
        <v>67</v>
      </c>
      <c r="C59" s="55" t="s">
        <v>985</v>
      </c>
      <c r="D59" s="165" t="s">
        <v>1469</v>
      </c>
      <c r="E59" s="166"/>
      <c r="F59" s="55" t="s">
        <v>1633</v>
      </c>
      <c r="G59" s="64">
        <v>100</v>
      </c>
      <c r="H59" s="96">
        <v>0</v>
      </c>
      <c r="I59" s="19"/>
    </row>
    <row r="60" spans="1:9">
      <c r="A60" s="47" t="s">
        <v>264</v>
      </c>
      <c r="B60" s="55" t="s">
        <v>67</v>
      </c>
      <c r="C60" s="55" t="s">
        <v>986</v>
      </c>
      <c r="D60" s="165" t="s">
        <v>1470</v>
      </c>
      <c r="E60" s="166"/>
      <c r="F60" s="55" t="s">
        <v>1633</v>
      </c>
      <c r="G60" s="64">
        <v>140</v>
      </c>
      <c r="H60" s="96">
        <v>0</v>
      </c>
      <c r="I60" s="19"/>
    </row>
    <row r="61" spans="1:9">
      <c r="A61" s="47" t="s">
        <v>265</v>
      </c>
      <c r="B61" s="55" t="s">
        <v>67</v>
      </c>
      <c r="C61" s="55" t="s">
        <v>987</v>
      </c>
      <c r="D61" s="165" t="s">
        <v>1471</v>
      </c>
      <c r="E61" s="166"/>
      <c r="F61" s="55" t="s">
        <v>1633</v>
      </c>
      <c r="G61" s="64">
        <v>25</v>
      </c>
      <c r="H61" s="96">
        <v>0</v>
      </c>
      <c r="I61" s="19"/>
    </row>
    <row r="62" spans="1:9">
      <c r="A62" s="47" t="s">
        <v>266</v>
      </c>
      <c r="B62" s="55" t="s">
        <v>67</v>
      </c>
      <c r="C62" s="55" t="s">
        <v>988</v>
      </c>
      <c r="D62" s="165" t="s">
        <v>1472</v>
      </c>
      <c r="E62" s="166"/>
      <c r="F62" s="55" t="s">
        <v>1631</v>
      </c>
      <c r="G62" s="64">
        <v>5</v>
      </c>
      <c r="H62" s="96">
        <v>0</v>
      </c>
      <c r="I62" s="19"/>
    </row>
    <row r="63" spans="1:9">
      <c r="A63" s="47" t="s">
        <v>267</v>
      </c>
      <c r="B63" s="55" t="s">
        <v>67</v>
      </c>
      <c r="C63" s="55" t="s">
        <v>989</v>
      </c>
      <c r="D63" s="165" t="s">
        <v>1473</v>
      </c>
      <c r="E63" s="166"/>
      <c r="F63" s="55" t="s">
        <v>1631</v>
      </c>
      <c r="G63" s="64">
        <v>15</v>
      </c>
      <c r="H63" s="96">
        <v>0</v>
      </c>
      <c r="I63" s="19"/>
    </row>
    <row r="64" spans="1:9">
      <c r="A64" s="47" t="s">
        <v>268</v>
      </c>
      <c r="B64" s="55" t="s">
        <v>67</v>
      </c>
      <c r="C64" s="55" t="s">
        <v>963</v>
      </c>
      <c r="D64" s="165" t="s">
        <v>1474</v>
      </c>
      <c r="E64" s="166"/>
      <c r="F64" s="55" t="s">
        <v>1631</v>
      </c>
      <c r="G64" s="64">
        <v>8</v>
      </c>
      <c r="H64" s="96">
        <v>0</v>
      </c>
      <c r="I64" s="19"/>
    </row>
    <row r="65" spans="1:9">
      <c r="A65" s="47" t="s">
        <v>269</v>
      </c>
      <c r="B65" s="55" t="s">
        <v>67</v>
      </c>
      <c r="C65" s="55" t="s">
        <v>963</v>
      </c>
      <c r="D65" s="165" t="s">
        <v>1475</v>
      </c>
      <c r="E65" s="166"/>
      <c r="F65" s="55" t="s">
        <v>1631</v>
      </c>
      <c r="G65" s="64">
        <v>10</v>
      </c>
      <c r="H65" s="96">
        <v>0</v>
      </c>
      <c r="I65" s="19"/>
    </row>
    <row r="66" spans="1:9">
      <c r="A66" s="47" t="s">
        <v>270</v>
      </c>
      <c r="B66" s="55" t="s">
        <v>67</v>
      </c>
      <c r="C66" s="55" t="s">
        <v>963</v>
      </c>
      <c r="D66" s="165" t="s">
        <v>1476</v>
      </c>
      <c r="E66" s="166"/>
      <c r="F66" s="55" t="s">
        <v>1636</v>
      </c>
      <c r="G66" s="64">
        <v>22</v>
      </c>
      <c r="H66" s="96">
        <v>0</v>
      </c>
      <c r="I66" s="19"/>
    </row>
    <row r="67" spans="1:9">
      <c r="A67" s="47" t="s">
        <v>174</v>
      </c>
      <c r="B67" s="55" t="s">
        <v>67</v>
      </c>
      <c r="C67" s="55" t="s">
        <v>963</v>
      </c>
      <c r="D67" s="165" t="s">
        <v>1477</v>
      </c>
      <c r="E67" s="166"/>
      <c r="F67" s="55" t="s">
        <v>1647</v>
      </c>
      <c r="G67" s="64">
        <v>8</v>
      </c>
      <c r="H67" s="96">
        <v>0</v>
      </c>
      <c r="I67" s="19"/>
    </row>
    <row r="68" spans="1:9">
      <c r="A68" s="47" t="s">
        <v>175</v>
      </c>
      <c r="B68" s="55" t="s">
        <v>67</v>
      </c>
      <c r="C68" s="55" t="s">
        <v>963</v>
      </c>
      <c r="D68" s="165" t="s">
        <v>1478</v>
      </c>
      <c r="E68" s="166"/>
      <c r="F68" s="55" t="s">
        <v>1647</v>
      </c>
      <c r="G68" s="64">
        <v>4</v>
      </c>
      <c r="H68" s="96">
        <v>0</v>
      </c>
      <c r="I68" s="19"/>
    </row>
    <row r="69" spans="1:9">
      <c r="A69" s="47" t="s">
        <v>176</v>
      </c>
      <c r="B69" s="55" t="s">
        <v>67</v>
      </c>
      <c r="C69" s="55" t="s">
        <v>963</v>
      </c>
      <c r="D69" s="165" t="s">
        <v>1453</v>
      </c>
      <c r="E69" s="166"/>
      <c r="F69" s="55" t="s">
        <v>1647</v>
      </c>
      <c r="G69" s="64">
        <v>4</v>
      </c>
      <c r="H69" s="96">
        <v>0</v>
      </c>
      <c r="I69" s="19"/>
    </row>
    <row r="70" spans="1:9">
      <c r="A70" s="47" t="s">
        <v>177</v>
      </c>
      <c r="B70" s="55" t="s">
        <v>67</v>
      </c>
      <c r="C70" s="55" t="s">
        <v>964</v>
      </c>
      <c r="D70" s="165" t="s">
        <v>1428</v>
      </c>
      <c r="E70" s="166"/>
      <c r="F70" s="55" t="s">
        <v>1647</v>
      </c>
      <c r="G70" s="64">
        <v>6</v>
      </c>
      <c r="H70" s="96">
        <v>0</v>
      </c>
      <c r="I70" s="19"/>
    </row>
    <row r="71" spans="1:9">
      <c r="A71" s="47" t="s">
        <v>132</v>
      </c>
      <c r="B71" s="55" t="s">
        <v>67</v>
      </c>
      <c r="C71" s="55" t="s">
        <v>963</v>
      </c>
      <c r="D71" s="165" t="s">
        <v>1429</v>
      </c>
      <c r="E71" s="166"/>
      <c r="F71" s="55" t="s">
        <v>1647</v>
      </c>
      <c r="G71" s="64">
        <v>4</v>
      </c>
      <c r="H71" s="96">
        <v>0</v>
      </c>
      <c r="I71" s="19"/>
    </row>
    <row r="72" spans="1:9">
      <c r="A72" s="48" t="s">
        <v>133</v>
      </c>
      <c r="B72" s="56" t="s">
        <v>67</v>
      </c>
      <c r="C72" s="56" t="s">
        <v>979</v>
      </c>
      <c r="D72" s="170" t="s">
        <v>1454</v>
      </c>
      <c r="E72" s="171"/>
      <c r="F72" s="56" t="s">
        <v>1633</v>
      </c>
      <c r="G72" s="65">
        <v>80</v>
      </c>
      <c r="H72" s="97">
        <v>0</v>
      </c>
      <c r="I72" s="19"/>
    </row>
    <row r="73" spans="1:9">
      <c r="A73" s="48" t="s">
        <v>134</v>
      </c>
      <c r="B73" s="56" t="s">
        <v>67</v>
      </c>
      <c r="C73" s="56" t="s">
        <v>979</v>
      </c>
      <c r="D73" s="170" t="s">
        <v>1455</v>
      </c>
      <c r="E73" s="171"/>
      <c r="F73" s="56" t="s">
        <v>1633</v>
      </c>
      <c r="G73" s="65">
        <v>180</v>
      </c>
      <c r="H73" s="97">
        <v>0</v>
      </c>
      <c r="I73" s="19"/>
    </row>
    <row r="74" spans="1:9">
      <c r="A74" s="48" t="s">
        <v>150</v>
      </c>
      <c r="B74" s="56" t="s">
        <v>67</v>
      </c>
      <c r="C74" s="56" t="s">
        <v>980</v>
      </c>
      <c r="D74" s="170" t="s">
        <v>1456</v>
      </c>
      <c r="E74" s="171"/>
      <c r="F74" s="56" t="s">
        <v>1631</v>
      </c>
      <c r="G74" s="65">
        <v>10</v>
      </c>
      <c r="H74" s="97">
        <v>0</v>
      </c>
      <c r="I74" s="19"/>
    </row>
    <row r="75" spans="1:9">
      <c r="A75" s="48" t="s">
        <v>271</v>
      </c>
      <c r="B75" s="56" t="s">
        <v>67</v>
      </c>
      <c r="C75" s="56" t="s">
        <v>990</v>
      </c>
      <c r="D75" s="170" t="s">
        <v>1479</v>
      </c>
      <c r="E75" s="171"/>
      <c r="F75" s="56" t="s">
        <v>1633</v>
      </c>
      <c r="G75" s="65">
        <v>100</v>
      </c>
      <c r="H75" s="97">
        <v>0</v>
      </c>
      <c r="I75" s="19"/>
    </row>
    <row r="76" spans="1:9">
      <c r="A76" s="48" t="s">
        <v>272</v>
      </c>
      <c r="B76" s="56" t="s">
        <v>67</v>
      </c>
      <c r="C76" s="56" t="s">
        <v>991</v>
      </c>
      <c r="D76" s="170" t="s">
        <v>1480</v>
      </c>
      <c r="E76" s="171"/>
      <c r="F76" s="56" t="s">
        <v>1633</v>
      </c>
      <c r="G76" s="65">
        <v>140</v>
      </c>
      <c r="H76" s="97">
        <v>0</v>
      </c>
      <c r="I76" s="19"/>
    </row>
    <row r="77" spans="1:9">
      <c r="A77" s="47" t="s">
        <v>273</v>
      </c>
      <c r="B77" s="55" t="s">
        <v>67</v>
      </c>
      <c r="C77" s="55" t="s">
        <v>963</v>
      </c>
      <c r="D77" s="165" t="s">
        <v>1481</v>
      </c>
      <c r="E77" s="166"/>
      <c r="F77" s="55" t="s">
        <v>1636</v>
      </c>
      <c r="G77" s="64">
        <v>8</v>
      </c>
      <c r="H77" s="96">
        <v>0</v>
      </c>
      <c r="I77" s="19"/>
    </row>
    <row r="78" spans="1:9">
      <c r="A78" s="47" t="s">
        <v>274</v>
      </c>
      <c r="B78" s="55" t="s">
        <v>67</v>
      </c>
      <c r="C78" s="55" t="s">
        <v>963</v>
      </c>
      <c r="D78" s="165" t="s">
        <v>1482</v>
      </c>
      <c r="E78" s="166"/>
      <c r="F78" s="55" t="s">
        <v>1636</v>
      </c>
      <c r="G78" s="64">
        <v>10</v>
      </c>
      <c r="H78" s="96">
        <v>0</v>
      </c>
      <c r="I78" s="19"/>
    </row>
    <row r="79" spans="1:9">
      <c r="A79" s="47" t="s">
        <v>275</v>
      </c>
      <c r="B79" s="55" t="s">
        <v>67</v>
      </c>
      <c r="C79" s="55" t="s">
        <v>963</v>
      </c>
      <c r="D79" s="165" t="s">
        <v>1483</v>
      </c>
      <c r="E79" s="166"/>
      <c r="F79" s="55" t="s">
        <v>1633</v>
      </c>
      <c r="G79" s="64">
        <v>25</v>
      </c>
      <c r="H79" s="96">
        <v>0</v>
      </c>
      <c r="I79" s="19"/>
    </row>
    <row r="80" spans="1:9">
      <c r="A80" s="47" t="s">
        <v>276</v>
      </c>
      <c r="B80" s="55" t="s">
        <v>67</v>
      </c>
      <c r="C80" s="55" t="s">
        <v>963</v>
      </c>
      <c r="D80" s="165" t="s">
        <v>1484</v>
      </c>
      <c r="E80" s="166"/>
      <c r="F80" s="55" t="s">
        <v>1631</v>
      </c>
      <c r="G80" s="64">
        <v>5</v>
      </c>
      <c r="H80" s="96">
        <v>0</v>
      </c>
      <c r="I80" s="19"/>
    </row>
    <row r="81" spans="1:9">
      <c r="A81" s="47" t="s">
        <v>277</v>
      </c>
      <c r="B81" s="55" t="s">
        <v>72</v>
      </c>
      <c r="C81" s="55" t="s">
        <v>974</v>
      </c>
      <c r="D81" s="165" t="s">
        <v>1444</v>
      </c>
      <c r="E81" s="166"/>
      <c r="F81" s="55" t="s">
        <v>1633</v>
      </c>
      <c r="G81" s="64">
        <v>220</v>
      </c>
      <c r="H81" s="96">
        <v>0</v>
      </c>
      <c r="I81" s="19"/>
    </row>
    <row r="82" spans="1:9">
      <c r="A82" s="47" t="s">
        <v>105</v>
      </c>
      <c r="B82" s="55" t="s">
        <v>72</v>
      </c>
      <c r="C82" s="55" t="s">
        <v>975</v>
      </c>
      <c r="D82" s="165" t="s">
        <v>1445</v>
      </c>
      <c r="E82" s="166"/>
      <c r="F82" s="55" t="s">
        <v>1631</v>
      </c>
      <c r="G82" s="64">
        <v>4</v>
      </c>
      <c r="H82" s="96">
        <v>0</v>
      </c>
      <c r="I82" s="19"/>
    </row>
    <row r="83" spans="1:9">
      <c r="A83" s="47" t="s">
        <v>106</v>
      </c>
      <c r="B83" s="55" t="s">
        <v>72</v>
      </c>
      <c r="C83" s="55" t="s">
        <v>976</v>
      </c>
      <c r="D83" s="165" t="s">
        <v>1446</v>
      </c>
      <c r="E83" s="166"/>
      <c r="F83" s="55" t="s">
        <v>1633</v>
      </c>
      <c r="G83" s="64">
        <v>80</v>
      </c>
      <c r="H83" s="96">
        <v>0</v>
      </c>
      <c r="I83" s="19"/>
    </row>
    <row r="84" spans="1:9">
      <c r="A84" s="47" t="s">
        <v>107</v>
      </c>
      <c r="B84" s="55" t="s">
        <v>72</v>
      </c>
      <c r="C84" s="55" t="s">
        <v>987</v>
      </c>
      <c r="D84" s="165" t="s">
        <v>1471</v>
      </c>
      <c r="E84" s="166"/>
      <c r="F84" s="55" t="s">
        <v>1633</v>
      </c>
      <c r="G84" s="64">
        <v>240</v>
      </c>
      <c r="H84" s="96">
        <v>0</v>
      </c>
      <c r="I84" s="19"/>
    </row>
    <row r="85" spans="1:9">
      <c r="A85" s="47" t="s">
        <v>108</v>
      </c>
      <c r="B85" s="55" t="s">
        <v>72</v>
      </c>
      <c r="C85" s="55" t="s">
        <v>988</v>
      </c>
      <c r="D85" s="165" t="s">
        <v>1472</v>
      </c>
      <c r="E85" s="166"/>
      <c r="F85" s="55" t="s">
        <v>1631</v>
      </c>
      <c r="G85" s="64">
        <v>4</v>
      </c>
      <c r="H85" s="96">
        <v>0</v>
      </c>
      <c r="I85" s="19"/>
    </row>
    <row r="86" spans="1:9">
      <c r="A86" s="47" t="s">
        <v>278</v>
      </c>
      <c r="B86" s="55" t="s">
        <v>72</v>
      </c>
      <c r="C86" s="55" t="s">
        <v>989</v>
      </c>
      <c r="D86" s="165" t="s">
        <v>1473</v>
      </c>
      <c r="E86" s="166"/>
      <c r="F86" s="55" t="s">
        <v>1631</v>
      </c>
      <c r="G86" s="64">
        <v>12</v>
      </c>
      <c r="H86" s="96">
        <v>0</v>
      </c>
      <c r="I86" s="19"/>
    </row>
    <row r="87" spans="1:9">
      <c r="A87" s="47" t="s">
        <v>101</v>
      </c>
      <c r="B87" s="55" t="s">
        <v>72</v>
      </c>
      <c r="C87" s="55" t="s">
        <v>963</v>
      </c>
      <c r="D87" s="165" t="s">
        <v>1613</v>
      </c>
      <c r="E87" s="166"/>
      <c r="F87" s="55" t="s">
        <v>1631</v>
      </c>
      <c r="G87" s="64">
        <v>4</v>
      </c>
      <c r="H87" s="96">
        <v>0</v>
      </c>
      <c r="I87" s="19"/>
    </row>
    <row r="88" spans="1:9">
      <c r="A88" s="47" t="s">
        <v>102</v>
      </c>
      <c r="B88" s="55" t="s">
        <v>72</v>
      </c>
      <c r="C88" s="55" t="s">
        <v>963</v>
      </c>
      <c r="D88" s="165" t="s">
        <v>1614</v>
      </c>
      <c r="E88" s="166"/>
      <c r="F88" s="55" t="s">
        <v>1631</v>
      </c>
      <c r="G88" s="64">
        <v>4</v>
      </c>
      <c r="H88" s="96">
        <v>0</v>
      </c>
      <c r="I88" s="19"/>
    </row>
    <row r="89" spans="1:9">
      <c r="A89" s="47" t="s">
        <v>103</v>
      </c>
      <c r="B89" s="55" t="s">
        <v>72</v>
      </c>
      <c r="C89" s="55" t="s">
        <v>963</v>
      </c>
      <c r="D89" s="165" t="s">
        <v>1615</v>
      </c>
      <c r="E89" s="166"/>
      <c r="F89" s="55" t="s">
        <v>1631</v>
      </c>
      <c r="G89" s="64">
        <v>4</v>
      </c>
      <c r="H89" s="96">
        <v>0</v>
      </c>
      <c r="I89" s="19"/>
    </row>
    <row r="90" spans="1:9">
      <c r="A90" s="47" t="s">
        <v>279</v>
      </c>
      <c r="B90" s="55" t="s">
        <v>72</v>
      </c>
      <c r="C90" s="55" t="s">
        <v>963</v>
      </c>
      <c r="D90" s="165" t="s">
        <v>1477</v>
      </c>
      <c r="E90" s="166"/>
      <c r="F90" s="55" t="s">
        <v>1647</v>
      </c>
      <c r="G90" s="64">
        <v>4</v>
      </c>
      <c r="H90" s="96">
        <v>0</v>
      </c>
      <c r="I90" s="19"/>
    </row>
    <row r="91" spans="1:9">
      <c r="A91" s="47" t="s">
        <v>280</v>
      </c>
      <c r="B91" s="55" t="s">
        <v>72</v>
      </c>
      <c r="C91" s="55" t="s">
        <v>963</v>
      </c>
      <c r="D91" s="165" t="s">
        <v>1478</v>
      </c>
      <c r="E91" s="166"/>
      <c r="F91" s="55" t="s">
        <v>1647</v>
      </c>
      <c r="G91" s="64">
        <v>4</v>
      </c>
      <c r="H91" s="96">
        <v>0</v>
      </c>
      <c r="I91" s="19"/>
    </row>
    <row r="92" spans="1:9">
      <c r="A92" s="47" t="s">
        <v>281</v>
      </c>
      <c r="B92" s="55" t="s">
        <v>72</v>
      </c>
      <c r="C92" s="55" t="s">
        <v>963</v>
      </c>
      <c r="D92" s="165" t="s">
        <v>1453</v>
      </c>
      <c r="E92" s="166"/>
      <c r="F92" s="55" t="s">
        <v>1647</v>
      </c>
      <c r="G92" s="64">
        <v>4</v>
      </c>
      <c r="H92" s="96">
        <v>0</v>
      </c>
      <c r="I92" s="19"/>
    </row>
    <row r="93" spans="1:9">
      <c r="A93" s="47" t="s">
        <v>282</v>
      </c>
      <c r="B93" s="55" t="s">
        <v>72</v>
      </c>
      <c r="C93" s="55" t="s">
        <v>964</v>
      </c>
      <c r="D93" s="165" t="s">
        <v>1428</v>
      </c>
      <c r="E93" s="166"/>
      <c r="F93" s="55" t="s">
        <v>1647</v>
      </c>
      <c r="G93" s="64">
        <v>4</v>
      </c>
      <c r="H93" s="96">
        <v>0</v>
      </c>
      <c r="I93" s="19"/>
    </row>
    <row r="94" spans="1:9">
      <c r="A94" s="47" t="s">
        <v>283</v>
      </c>
      <c r="B94" s="55" t="s">
        <v>72</v>
      </c>
      <c r="C94" s="55" t="s">
        <v>963</v>
      </c>
      <c r="D94" s="165" t="s">
        <v>1429</v>
      </c>
      <c r="E94" s="166"/>
      <c r="F94" s="55" t="s">
        <v>1647</v>
      </c>
      <c r="G94" s="64">
        <v>4</v>
      </c>
      <c r="H94" s="96">
        <v>0</v>
      </c>
      <c r="I94" s="19"/>
    </row>
    <row r="95" spans="1:9">
      <c r="A95" s="48" t="s">
        <v>284</v>
      </c>
      <c r="B95" s="56" t="s">
        <v>72</v>
      </c>
      <c r="C95" s="56" t="s">
        <v>979</v>
      </c>
      <c r="D95" s="170" t="s">
        <v>1454</v>
      </c>
      <c r="E95" s="171"/>
      <c r="F95" s="56" t="s">
        <v>1633</v>
      </c>
      <c r="G95" s="65">
        <v>220</v>
      </c>
      <c r="H95" s="97">
        <v>0</v>
      </c>
      <c r="I95" s="19"/>
    </row>
    <row r="96" spans="1:9">
      <c r="A96" s="48" t="s">
        <v>285</v>
      </c>
      <c r="B96" s="56" t="s">
        <v>72</v>
      </c>
      <c r="C96" s="56" t="s">
        <v>980</v>
      </c>
      <c r="D96" s="170" t="s">
        <v>1456</v>
      </c>
      <c r="E96" s="171"/>
      <c r="F96" s="56" t="s">
        <v>1631</v>
      </c>
      <c r="G96" s="65">
        <v>10</v>
      </c>
      <c r="H96" s="97">
        <v>0</v>
      </c>
      <c r="I96" s="19"/>
    </row>
    <row r="97" spans="1:9">
      <c r="A97" s="48" t="s">
        <v>286</v>
      </c>
      <c r="B97" s="56" t="s">
        <v>72</v>
      </c>
      <c r="C97" s="56" t="s">
        <v>981</v>
      </c>
      <c r="D97" s="170" t="s">
        <v>1457</v>
      </c>
      <c r="E97" s="171"/>
      <c r="F97" s="56" t="s">
        <v>1633</v>
      </c>
      <c r="G97" s="65">
        <v>80</v>
      </c>
      <c r="H97" s="97">
        <v>0</v>
      </c>
      <c r="I97" s="19"/>
    </row>
    <row r="98" spans="1:9">
      <c r="A98" s="47" t="s">
        <v>179</v>
      </c>
      <c r="B98" s="55" t="s">
        <v>72</v>
      </c>
      <c r="C98" s="55" t="s">
        <v>963</v>
      </c>
      <c r="D98" s="165" t="s">
        <v>1483</v>
      </c>
      <c r="E98" s="166"/>
      <c r="F98" s="55" t="s">
        <v>1633</v>
      </c>
      <c r="G98" s="64">
        <v>240</v>
      </c>
      <c r="H98" s="96">
        <v>0</v>
      </c>
      <c r="I98" s="19"/>
    </row>
    <row r="99" spans="1:9">
      <c r="A99" s="47" t="s">
        <v>287</v>
      </c>
      <c r="B99" s="55" t="s">
        <v>72</v>
      </c>
      <c r="C99" s="55" t="s">
        <v>963</v>
      </c>
      <c r="D99" s="165" t="s">
        <v>1616</v>
      </c>
      <c r="E99" s="166"/>
      <c r="F99" s="55" t="s">
        <v>1636</v>
      </c>
      <c r="G99" s="64">
        <v>4</v>
      </c>
      <c r="H99" s="96">
        <v>0</v>
      </c>
      <c r="I99" s="19"/>
    </row>
    <row r="100" spans="1:9">
      <c r="A100" s="47" t="s">
        <v>180</v>
      </c>
      <c r="B100" s="55" t="s">
        <v>72</v>
      </c>
      <c r="C100" s="55" t="s">
        <v>963</v>
      </c>
      <c r="D100" s="165" t="s">
        <v>1618</v>
      </c>
      <c r="E100" s="166"/>
      <c r="F100" s="55" t="s">
        <v>1636</v>
      </c>
      <c r="G100" s="64">
        <v>4</v>
      </c>
      <c r="H100" s="96">
        <v>0</v>
      </c>
      <c r="I100" s="19"/>
    </row>
    <row r="101" spans="1:9">
      <c r="A101" s="47" t="s">
        <v>288</v>
      </c>
      <c r="B101" s="55" t="s">
        <v>72</v>
      </c>
      <c r="C101" s="55" t="s">
        <v>963</v>
      </c>
      <c r="D101" s="165" t="s">
        <v>1619</v>
      </c>
      <c r="E101" s="166"/>
      <c r="F101" s="55" t="s">
        <v>1631</v>
      </c>
      <c r="G101" s="64">
        <v>4</v>
      </c>
      <c r="H101" s="96">
        <v>0</v>
      </c>
      <c r="I101" s="19"/>
    </row>
    <row r="102" spans="1:9">
      <c r="A102" s="87"/>
      <c r="B102" s="54"/>
      <c r="C102" s="54" t="s">
        <v>162</v>
      </c>
      <c r="D102" s="163" t="s">
        <v>212</v>
      </c>
      <c r="E102" s="164"/>
      <c r="F102" s="54"/>
      <c r="G102" s="77"/>
      <c r="H102" s="72"/>
      <c r="I102" s="19"/>
    </row>
    <row r="103" spans="1:9">
      <c r="A103" s="47" t="s">
        <v>181</v>
      </c>
      <c r="B103" s="55" t="s">
        <v>65</v>
      </c>
      <c r="C103" s="55" t="s">
        <v>969</v>
      </c>
      <c r="D103" s="165" t="s">
        <v>1439</v>
      </c>
      <c r="E103" s="166"/>
      <c r="F103" s="55" t="s">
        <v>1633</v>
      </c>
      <c r="G103" s="64">
        <v>15</v>
      </c>
      <c r="H103" s="96">
        <v>0</v>
      </c>
      <c r="I103" s="19"/>
    </row>
    <row r="104" spans="1:9">
      <c r="A104" s="47" t="s">
        <v>289</v>
      </c>
      <c r="B104" s="55" t="s">
        <v>65</v>
      </c>
      <c r="C104" s="55" t="s">
        <v>970</v>
      </c>
      <c r="D104" s="165" t="s">
        <v>1440</v>
      </c>
      <c r="E104" s="166"/>
      <c r="F104" s="55" t="s">
        <v>1633</v>
      </c>
      <c r="G104" s="64">
        <v>15</v>
      </c>
      <c r="H104" s="96">
        <v>0</v>
      </c>
      <c r="I104" s="19"/>
    </row>
    <row r="105" spans="1:9">
      <c r="A105" s="47" t="s">
        <v>290</v>
      </c>
      <c r="B105" s="55" t="s">
        <v>65</v>
      </c>
      <c r="C105" s="55" t="s">
        <v>971</v>
      </c>
      <c r="D105" s="165" t="s">
        <v>1441</v>
      </c>
      <c r="E105" s="166"/>
      <c r="F105" s="55" t="s">
        <v>1638</v>
      </c>
      <c r="G105" s="64">
        <v>1</v>
      </c>
      <c r="H105" s="96">
        <v>0</v>
      </c>
      <c r="I105" s="19"/>
    </row>
    <row r="106" spans="1:9">
      <c r="A106" s="47" t="s">
        <v>140</v>
      </c>
      <c r="B106" s="55" t="s">
        <v>65</v>
      </c>
      <c r="C106" s="55" t="s">
        <v>972</v>
      </c>
      <c r="D106" s="165" t="s">
        <v>1442</v>
      </c>
      <c r="E106" s="166"/>
      <c r="F106" s="55" t="s">
        <v>1632</v>
      </c>
      <c r="G106" s="64">
        <v>10</v>
      </c>
      <c r="H106" s="96">
        <v>0</v>
      </c>
      <c r="I106" s="19"/>
    </row>
    <row r="107" spans="1:9">
      <c r="A107" s="47" t="s">
        <v>141</v>
      </c>
      <c r="B107" s="55" t="s">
        <v>65</v>
      </c>
      <c r="C107" s="55" t="s">
        <v>973</v>
      </c>
      <c r="D107" s="165" t="s">
        <v>1443</v>
      </c>
      <c r="E107" s="166"/>
      <c r="F107" s="55" t="s">
        <v>1638</v>
      </c>
      <c r="G107" s="64">
        <v>15</v>
      </c>
      <c r="H107" s="96">
        <v>0</v>
      </c>
      <c r="I107" s="19"/>
    </row>
    <row r="108" spans="1:9">
      <c r="A108" s="47" t="s">
        <v>142</v>
      </c>
      <c r="B108" s="55" t="s">
        <v>66</v>
      </c>
      <c r="C108" s="55" t="s">
        <v>983</v>
      </c>
      <c r="D108" s="165" t="s">
        <v>1467</v>
      </c>
      <c r="E108" s="166"/>
      <c r="F108" s="55" t="s">
        <v>1631</v>
      </c>
      <c r="G108" s="64">
        <v>8</v>
      </c>
      <c r="H108" s="96">
        <v>0</v>
      </c>
      <c r="I108" s="19"/>
    </row>
    <row r="109" spans="1:9">
      <c r="A109" s="47" t="s">
        <v>143</v>
      </c>
      <c r="B109" s="55" t="s">
        <v>66</v>
      </c>
      <c r="C109" s="55" t="s">
        <v>984</v>
      </c>
      <c r="D109" s="165" t="s">
        <v>1468</v>
      </c>
      <c r="E109" s="166"/>
      <c r="F109" s="55" t="s">
        <v>1631</v>
      </c>
      <c r="G109" s="64">
        <v>16</v>
      </c>
      <c r="H109" s="96">
        <v>0</v>
      </c>
      <c r="I109" s="19"/>
    </row>
    <row r="110" spans="1:9">
      <c r="A110" s="47" t="s">
        <v>291</v>
      </c>
      <c r="B110" s="55" t="s">
        <v>67</v>
      </c>
      <c r="C110" s="55" t="s">
        <v>983</v>
      </c>
      <c r="D110" s="165" t="s">
        <v>1467</v>
      </c>
      <c r="E110" s="166"/>
      <c r="F110" s="55" t="s">
        <v>1631</v>
      </c>
      <c r="G110" s="64">
        <v>6</v>
      </c>
      <c r="H110" s="96">
        <v>0</v>
      </c>
      <c r="I110" s="19"/>
    </row>
    <row r="111" spans="1:9">
      <c r="A111" s="47" t="s">
        <v>292</v>
      </c>
      <c r="B111" s="55" t="s">
        <v>67</v>
      </c>
      <c r="C111" s="55" t="s">
        <v>984</v>
      </c>
      <c r="D111" s="165" t="s">
        <v>1468</v>
      </c>
      <c r="E111" s="166"/>
      <c r="F111" s="55" t="s">
        <v>1631</v>
      </c>
      <c r="G111" s="64">
        <v>8</v>
      </c>
      <c r="H111" s="96">
        <v>0</v>
      </c>
      <c r="I111" s="19"/>
    </row>
    <row r="112" spans="1:9">
      <c r="A112" s="47" t="s">
        <v>293</v>
      </c>
      <c r="B112" s="55" t="s">
        <v>72</v>
      </c>
      <c r="C112" s="55" t="s">
        <v>983</v>
      </c>
      <c r="D112" s="165" t="s">
        <v>1467</v>
      </c>
      <c r="E112" s="166"/>
      <c r="F112" s="55" t="s">
        <v>1631</v>
      </c>
      <c r="G112" s="64">
        <v>4</v>
      </c>
      <c r="H112" s="96">
        <v>0</v>
      </c>
      <c r="I112" s="19"/>
    </row>
    <row r="113" spans="1:9">
      <c r="A113" s="47" t="s">
        <v>294</v>
      </c>
      <c r="B113" s="55" t="s">
        <v>72</v>
      </c>
      <c r="C113" s="55" t="s">
        <v>984</v>
      </c>
      <c r="D113" s="165" t="s">
        <v>1468</v>
      </c>
      <c r="E113" s="166"/>
      <c r="F113" s="55" t="s">
        <v>1631</v>
      </c>
      <c r="G113" s="64">
        <v>12</v>
      </c>
      <c r="H113" s="96">
        <v>0</v>
      </c>
      <c r="I113" s="19"/>
    </row>
    <row r="114" spans="1:9">
      <c r="A114" s="87"/>
      <c r="B114" s="54"/>
      <c r="C114" s="54" t="s">
        <v>131</v>
      </c>
      <c r="D114" s="163" t="s">
        <v>182</v>
      </c>
      <c r="E114" s="164"/>
      <c r="F114" s="54"/>
      <c r="G114" s="77"/>
      <c r="H114" s="72"/>
      <c r="I114" s="19"/>
    </row>
    <row r="115" spans="1:9" ht="12.2" customHeight="1">
      <c r="A115" s="47" t="s">
        <v>295</v>
      </c>
      <c r="B115" s="55" t="s">
        <v>59</v>
      </c>
      <c r="C115" s="55" t="s">
        <v>729</v>
      </c>
      <c r="D115" s="180" t="s">
        <v>1793</v>
      </c>
      <c r="E115" s="181"/>
      <c r="F115" s="180"/>
      <c r="G115" s="92">
        <v>0</v>
      </c>
      <c r="H115" s="96">
        <v>0</v>
      </c>
      <c r="I115" s="19"/>
    </row>
    <row r="116" spans="1:9" ht="12.2" customHeight="1">
      <c r="A116" s="47" t="s">
        <v>296</v>
      </c>
      <c r="B116" s="55" t="s">
        <v>59</v>
      </c>
      <c r="C116" s="55" t="s">
        <v>731</v>
      </c>
      <c r="D116" s="180" t="s">
        <v>1794</v>
      </c>
      <c r="E116" s="181"/>
      <c r="F116" s="180"/>
      <c r="G116" s="92">
        <v>0</v>
      </c>
      <c r="H116" s="96">
        <v>0</v>
      </c>
      <c r="I116" s="19"/>
    </row>
    <row r="117" spans="1:9" ht="12.2" customHeight="1">
      <c r="A117" s="47"/>
      <c r="B117" s="55"/>
      <c r="C117" s="55"/>
      <c r="D117" s="180" t="s">
        <v>1795</v>
      </c>
      <c r="E117" s="181"/>
      <c r="F117" s="180"/>
      <c r="G117" s="92">
        <v>0</v>
      </c>
      <c r="H117" s="73"/>
      <c r="I117" s="19"/>
    </row>
    <row r="118" spans="1:9" ht="12.2" customHeight="1">
      <c r="A118" s="47" t="s">
        <v>297</v>
      </c>
      <c r="B118" s="55" t="s">
        <v>61</v>
      </c>
      <c r="C118" s="55" t="s">
        <v>834</v>
      </c>
      <c r="D118" s="180" t="s">
        <v>1796</v>
      </c>
      <c r="E118" s="181"/>
      <c r="F118" s="180"/>
      <c r="G118" s="92">
        <v>0</v>
      </c>
      <c r="H118" s="96">
        <v>0</v>
      </c>
      <c r="I118" s="19"/>
    </row>
    <row r="119" spans="1:9">
      <c r="A119" s="87"/>
      <c r="B119" s="54"/>
      <c r="C119" s="54" t="s">
        <v>132</v>
      </c>
      <c r="D119" s="163" t="s">
        <v>183</v>
      </c>
      <c r="E119" s="164"/>
      <c r="F119" s="54"/>
      <c r="G119" s="77"/>
      <c r="H119" s="72"/>
      <c r="I119" s="19"/>
    </row>
    <row r="120" spans="1:9">
      <c r="A120" s="47" t="s">
        <v>298</v>
      </c>
      <c r="B120" s="55" t="s">
        <v>59</v>
      </c>
      <c r="C120" s="55" t="s">
        <v>732</v>
      </c>
      <c r="D120" s="165" t="s">
        <v>1125</v>
      </c>
      <c r="E120" s="166"/>
      <c r="F120" s="55" t="s">
        <v>1632</v>
      </c>
      <c r="G120" s="64">
        <v>0.29920000000000002</v>
      </c>
      <c r="H120" s="96">
        <v>0</v>
      </c>
      <c r="I120" s="19"/>
    </row>
    <row r="121" spans="1:9" ht="12.2" customHeight="1">
      <c r="A121" s="19"/>
      <c r="D121" s="180" t="s">
        <v>1797</v>
      </c>
      <c r="E121" s="181"/>
      <c r="F121" s="181"/>
      <c r="G121" s="92">
        <v>0</v>
      </c>
      <c r="H121" s="16"/>
      <c r="I121" s="19"/>
    </row>
    <row r="122" spans="1:9" ht="12.2" customHeight="1">
      <c r="A122" s="47"/>
      <c r="B122" s="55"/>
      <c r="C122" s="55"/>
      <c r="D122" s="180" t="s">
        <v>1798</v>
      </c>
      <c r="E122" s="181"/>
      <c r="F122" s="180"/>
      <c r="G122" s="92">
        <v>0</v>
      </c>
      <c r="H122" s="73"/>
      <c r="I122" s="19"/>
    </row>
    <row r="123" spans="1:9" ht="12.2" customHeight="1">
      <c r="A123" s="47"/>
      <c r="B123" s="55"/>
      <c r="C123" s="55"/>
      <c r="D123" s="180" t="s">
        <v>1799</v>
      </c>
      <c r="E123" s="181"/>
      <c r="F123" s="180"/>
      <c r="G123" s="92">
        <v>0</v>
      </c>
      <c r="H123" s="73"/>
      <c r="I123" s="19"/>
    </row>
    <row r="124" spans="1:9">
      <c r="A124" s="47" t="s">
        <v>299</v>
      </c>
      <c r="B124" s="55" t="s">
        <v>61</v>
      </c>
      <c r="C124" s="55" t="s">
        <v>732</v>
      </c>
      <c r="D124" s="165" t="s">
        <v>1125</v>
      </c>
      <c r="E124" s="166"/>
      <c r="F124" s="55" t="s">
        <v>1632</v>
      </c>
      <c r="G124" s="64">
        <v>66.599999999999994</v>
      </c>
      <c r="H124" s="96">
        <v>0</v>
      </c>
      <c r="I124" s="19"/>
    </row>
    <row r="125" spans="1:9" ht="12.2" customHeight="1">
      <c r="A125" s="19"/>
      <c r="D125" s="180" t="s">
        <v>1800</v>
      </c>
      <c r="E125" s="181"/>
      <c r="F125" s="181"/>
      <c r="G125" s="92">
        <v>0</v>
      </c>
      <c r="H125" s="16"/>
      <c r="I125" s="19"/>
    </row>
    <row r="126" spans="1:9" ht="12.2" customHeight="1">
      <c r="A126" s="47"/>
      <c r="B126" s="55"/>
      <c r="C126" s="55"/>
      <c r="D126" s="180" t="s">
        <v>1801</v>
      </c>
      <c r="E126" s="181"/>
      <c r="F126" s="180"/>
      <c r="G126" s="92">
        <v>0</v>
      </c>
      <c r="H126" s="73"/>
      <c r="I126" s="19"/>
    </row>
    <row r="127" spans="1:9" ht="12.2" customHeight="1">
      <c r="A127" s="47"/>
      <c r="B127" s="55"/>
      <c r="C127" s="55"/>
      <c r="D127" s="180" t="s">
        <v>1802</v>
      </c>
      <c r="E127" s="181"/>
      <c r="F127" s="180"/>
      <c r="G127" s="92">
        <v>0</v>
      </c>
      <c r="H127" s="73"/>
      <c r="I127" s="19"/>
    </row>
    <row r="128" spans="1:9" ht="12.2" customHeight="1">
      <c r="A128" s="47"/>
      <c r="B128" s="55"/>
      <c r="C128" s="55"/>
      <c r="D128" s="180" t="s">
        <v>1803</v>
      </c>
      <c r="E128" s="181"/>
      <c r="F128" s="180"/>
      <c r="G128" s="92">
        <v>0</v>
      </c>
      <c r="H128" s="73"/>
      <c r="I128" s="19"/>
    </row>
    <row r="129" spans="1:9" ht="12.2" customHeight="1">
      <c r="A129" s="47"/>
      <c r="B129" s="55"/>
      <c r="C129" s="55"/>
      <c r="D129" s="180" t="s">
        <v>1804</v>
      </c>
      <c r="E129" s="181"/>
      <c r="F129" s="180"/>
      <c r="G129" s="92">
        <v>0</v>
      </c>
      <c r="H129" s="73"/>
      <c r="I129" s="19"/>
    </row>
    <row r="130" spans="1:9" ht="12.2" customHeight="1">
      <c r="A130" s="47"/>
      <c r="B130" s="55"/>
      <c r="C130" s="55"/>
      <c r="D130" s="180" t="s">
        <v>1805</v>
      </c>
      <c r="E130" s="181"/>
      <c r="F130" s="180"/>
      <c r="G130" s="92">
        <v>0</v>
      </c>
      <c r="H130" s="73"/>
      <c r="I130" s="19"/>
    </row>
    <row r="131" spans="1:9" ht="12.2" customHeight="1">
      <c r="A131" s="47"/>
      <c r="B131" s="55"/>
      <c r="C131" s="55"/>
      <c r="D131" s="180" t="s">
        <v>1806</v>
      </c>
      <c r="E131" s="181"/>
      <c r="F131" s="180"/>
      <c r="G131" s="92">
        <v>0</v>
      </c>
      <c r="H131" s="73"/>
      <c r="I131" s="19"/>
    </row>
    <row r="132" spans="1:9" ht="12.2" customHeight="1">
      <c r="A132" s="47"/>
      <c r="B132" s="55"/>
      <c r="C132" s="55"/>
      <c r="D132" s="180" t="s">
        <v>1807</v>
      </c>
      <c r="E132" s="181"/>
      <c r="F132" s="180"/>
      <c r="G132" s="92">
        <v>0</v>
      </c>
      <c r="H132" s="73"/>
      <c r="I132" s="19"/>
    </row>
    <row r="133" spans="1:9" ht="12.2" customHeight="1">
      <c r="A133" s="47"/>
      <c r="B133" s="55"/>
      <c r="C133" s="55"/>
      <c r="D133" s="180" t="s">
        <v>1808</v>
      </c>
      <c r="E133" s="181"/>
      <c r="F133" s="180"/>
      <c r="G133" s="92">
        <v>0</v>
      </c>
      <c r="H133" s="73"/>
      <c r="I133" s="19"/>
    </row>
    <row r="134" spans="1:9" ht="12.2" customHeight="1">
      <c r="A134" s="47"/>
      <c r="B134" s="55"/>
      <c r="C134" s="55"/>
      <c r="D134" s="180" t="s">
        <v>1809</v>
      </c>
      <c r="E134" s="181"/>
      <c r="F134" s="180"/>
      <c r="G134" s="92">
        <v>0</v>
      </c>
      <c r="H134" s="73"/>
      <c r="I134" s="19"/>
    </row>
    <row r="135" spans="1:9" ht="12.2" customHeight="1">
      <c r="A135" s="47"/>
      <c r="B135" s="55"/>
      <c r="C135" s="55"/>
      <c r="D135" s="180" t="s">
        <v>1796</v>
      </c>
      <c r="E135" s="181"/>
      <c r="F135" s="180"/>
      <c r="G135" s="92">
        <v>0</v>
      </c>
      <c r="H135" s="73"/>
      <c r="I135" s="19"/>
    </row>
    <row r="136" spans="1:9">
      <c r="A136" s="87"/>
      <c r="B136" s="54"/>
      <c r="C136" s="54" t="s">
        <v>133</v>
      </c>
      <c r="D136" s="163" t="s">
        <v>184</v>
      </c>
      <c r="E136" s="164"/>
      <c r="F136" s="54"/>
      <c r="G136" s="77"/>
      <c r="H136" s="72"/>
      <c r="I136" s="19"/>
    </row>
    <row r="137" spans="1:9">
      <c r="A137" s="47" t="s">
        <v>300</v>
      </c>
      <c r="B137" s="55" t="s">
        <v>59</v>
      </c>
      <c r="C137" s="55" t="s">
        <v>733</v>
      </c>
      <c r="D137" s="165" t="s">
        <v>1127</v>
      </c>
      <c r="E137" s="166"/>
      <c r="F137" s="55" t="s">
        <v>1632</v>
      </c>
      <c r="G137" s="64">
        <v>0.29920000000000002</v>
      </c>
      <c r="H137" s="96">
        <v>0</v>
      </c>
      <c r="I137" s="19"/>
    </row>
    <row r="138" spans="1:9" ht="12.2" customHeight="1">
      <c r="A138" s="19"/>
      <c r="D138" s="180" t="s">
        <v>1797</v>
      </c>
      <c r="E138" s="181"/>
      <c r="F138" s="181"/>
      <c r="G138" s="92">
        <v>0</v>
      </c>
      <c r="H138" s="16"/>
      <c r="I138" s="19"/>
    </row>
    <row r="139" spans="1:9" ht="12.2" customHeight="1">
      <c r="A139" s="47"/>
      <c r="B139" s="55"/>
      <c r="C139" s="55"/>
      <c r="D139" s="180" t="s">
        <v>1798</v>
      </c>
      <c r="E139" s="181"/>
      <c r="F139" s="180"/>
      <c r="G139" s="92">
        <v>0</v>
      </c>
      <c r="H139" s="73"/>
      <c r="I139" s="19"/>
    </row>
    <row r="140" spans="1:9" ht="12.2" customHeight="1">
      <c r="A140" s="47"/>
      <c r="B140" s="55"/>
      <c r="C140" s="55"/>
      <c r="D140" s="180" t="s">
        <v>1799</v>
      </c>
      <c r="E140" s="181"/>
      <c r="F140" s="180"/>
      <c r="G140" s="92">
        <v>0</v>
      </c>
      <c r="H140" s="73"/>
      <c r="I140" s="19"/>
    </row>
    <row r="141" spans="1:9">
      <c r="A141" s="47" t="s">
        <v>301</v>
      </c>
      <c r="B141" s="55" t="s">
        <v>61</v>
      </c>
      <c r="C141" s="55" t="s">
        <v>835</v>
      </c>
      <c r="D141" s="165" t="s">
        <v>1241</v>
      </c>
      <c r="E141" s="166"/>
      <c r="F141" s="55" t="s">
        <v>1633</v>
      </c>
      <c r="G141" s="64">
        <v>420</v>
      </c>
      <c r="H141" s="96">
        <v>0</v>
      </c>
      <c r="I141" s="19"/>
    </row>
    <row r="142" spans="1:9" ht="12.2" customHeight="1">
      <c r="A142" s="19"/>
      <c r="D142" s="180" t="s">
        <v>1810</v>
      </c>
      <c r="E142" s="181"/>
      <c r="F142" s="181"/>
      <c r="G142" s="92">
        <v>0</v>
      </c>
      <c r="H142" s="16"/>
      <c r="I142" s="19"/>
    </row>
    <row r="143" spans="1:9" ht="12.2" customHeight="1">
      <c r="A143" s="47"/>
      <c r="B143" s="55"/>
      <c r="C143" s="55"/>
      <c r="D143" s="180" t="s">
        <v>1811</v>
      </c>
      <c r="E143" s="181"/>
      <c r="F143" s="180"/>
      <c r="G143" s="92">
        <v>0</v>
      </c>
      <c r="H143" s="73"/>
      <c r="I143" s="19"/>
    </row>
    <row r="144" spans="1:9" ht="12.2" customHeight="1">
      <c r="A144" s="47"/>
      <c r="B144" s="55"/>
      <c r="C144" s="55"/>
      <c r="D144" s="180" t="s">
        <v>1812</v>
      </c>
      <c r="E144" s="181"/>
      <c r="F144" s="180"/>
      <c r="G144" s="92">
        <v>0</v>
      </c>
      <c r="H144" s="73"/>
      <c r="I144" s="19"/>
    </row>
    <row r="145" spans="1:9" ht="12.2" customHeight="1">
      <c r="A145" s="47"/>
      <c r="B145" s="55"/>
      <c r="C145" s="55"/>
      <c r="D145" s="180" t="s">
        <v>1813</v>
      </c>
      <c r="E145" s="181"/>
      <c r="F145" s="180"/>
      <c r="G145" s="92">
        <v>0</v>
      </c>
      <c r="H145" s="73"/>
      <c r="I145" s="19"/>
    </row>
    <row r="146" spans="1:9" ht="12.2" customHeight="1">
      <c r="A146" s="47"/>
      <c r="B146" s="55"/>
      <c r="C146" s="55"/>
      <c r="D146" s="180" t="s">
        <v>1814</v>
      </c>
      <c r="E146" s="181"/>
      <c r="F146" s="180"/>
      <c r="G146" s="92">
        <v>0</v>
      </c>
      <c r="H146" s="73"/>
      <c r="I146" s="19"/>
    </row>
    <row r="147" spans="1:9" ht="12.2" customHeight="1">
      <c r="A147" s="47"/>
      <c r="B147" s="55"/>
      <c r="C147" s="55"/>
      <c r="D147" s="180" t="s">
        <v>1815</v>
      </c>
      <c r="E147" s="181"/>
      <c r="F147" s="180"/>
      <c r="G147" s="92">
        <v>0</v>
      </c>
      <c r="H147" s="73"/>
      <c r="I147" s="19"/>
    </row>
    <row r="148" spans="1:9" ht="12.2" customHeight="1">
      <c r="A148" s="47"/>
      <c r="B148" s="55"/>
      <c r="C148" s="55"/>
      <c r="D148" s="180" t="s">
        <v>1816</v>
      </c>
      <c r="E148" s="181"/>
      <c r="F148" s="180"/>
      <c r="G148" s="92">
        <v>0</v>
      </c>
      <c r="H148" s="73"/>
      <c r="I148" s="19"/>
    </row>
    <row r="149" spans="1:9" ht="12.2" customHeight="1">
      <c r="A149" s="47"/>
      <c r="B149" s="55"/>
      <c r="C149" s="55"/>
      <c r="D149" s="180" t="s">
        <v>1817</v>
      </c>
      <c r="E149" s="181"/>
      <c r="F149" s="180"/>
      <c r="G149" s="92">
        <v>0</v>
      </c>
      <c r="H149" s="73"/>
      <c r="I149" s="19"/>
    </row>
    <row r="150" spans="1:9" ht="12.2" customHeight="1">
      <c r="A150" s="47"/>
      <c r="B150" s="55"/>
      <c r="C150" s="55"/>
      <c r="D150" s="180" t="s">
        <v>1818</v>
      </c>
      <c r="E150" s="181"/>
      <c r="F150" s="180"/>
      <c r="G150" s="92">
        <v>0</v>
      </c>
      <c r="H150" s="73"/>
      <c r="I150" s="19"/>
    </row>
    <row r="151" spans="1:9" ht="12.2" customHeight="1">
      <c r="A151" s="47"/>
      <c r="B151" s="55"/>
      <c r="C151" s="55"/>
      <c r="D151" s="180" t="s">
        <v>1819</v>
      </c>
      <c r="E151" s="181"/>
      <c r="F151" s="180"/>
      <c r="G151" s="92">
        <v>0</v>
      </c>
      <c r="H151" s="73"/>
      <c r="I151" s="19"/>
    </row>
    <row r="152" spans="1:9" ht="12.2" customHeight="1">
      <c r="A152" s="47" t="s">
        <v>302</v>
      </c>
      <c r="B152" s="55" t="s">
        <v>61</v>
      </c>
      <c r="C152" s="55" t="s">
        <v>733</v>
      </c>
      <c r="D152" s="180" t="s">
        <v>1796</v>
      </c>
      <c r="E152" s="181"/>
      <c r="F152" s="180"/>
      <c r="G152" s="92">
        <v>0</v>
      </c>
      <c r="H152" s="96">
        <v>0</v>
      </c>
      <c r="I152" s="19"/>
    </row>
    <row r="153" spans="1:9">
      <c r="A153" s="47" t="s">
        <v>303</v>
      </c>
      <c r="B153" s="55" t="s">
        <v>61</v>
      </c>
      <c r="C153" s="55" t="s">
        <v>836</v>
      </c>
      <c r="D153" s="165" t="s">
        <v>1242</v>
      </c>
      <c r="E153" s="166"/>
      <c r="F153" s="55" t="s">
        <v>1632</v>
      </c>
      <c r="G153" s="64">
        <v>63</v>
      </c>
      <c r="H153" s="96">
        <v>0</v>
      </c>
      <c r="I153" s="19"/>
    </row>
    <row r="154" spans="1:9" ht="12.2" customHeight="1">
      <c r="A154" s="19"/>
      <c r="D154" s="180" t="s">
        <v>1800</v>
      </c>
      <c r="E154" s="181"/>
      <c r="F154" s="181"/>
      <c r="G154" s="92">
        <v>0</v>
      </c>
      <c r="H154" s="16"/>
      <c r="I154" s="19"/>
    </row>
    <row r="155" spans="1:9" ht="12.2" customHeight="1">
      <c r="A155" s="47"/>
      <c r="B155" s="55"/>
      <c r="C155" s="55"/>
      <c r="D155" s="180" t="s">
        <v>1801</v>
      </c>
      <c r="E155" s="181"/>
      <c r="F155" s="180"/>
      <c r="G155" s="92">
        <v>0</v>
      </c>
      <c r="H155" s="73"/>
      <c r="I155" s="19"/>
    </row>
    <row r="156" spans="1:9" ht="12.2" customHeight="1">
      <c r="A156" s="47"/>
      <c r="B156" s="55"/>
      <c r="C156" s="55"/>
      <c r="D156" s="180" t="s">
        <v>1802</v>
      </c>
      <c r="E156" s="181"/>
      <c r="F156" s="180"/>
      <c r="G156" s="92">
        <v>0</v>
      </c>
      <c r="H156" s="73"/>
      <c r="I156" s="19"/>
    </row>
    <row r="157" spans="1:9" ht="12.2" customHeight="1">
      <c r="A157" s="47"/>
      <c r="B157" s="55"/>
      <c r="C157" s="55"/>
      <c r="D157" s="180" t="s">
        <v>1803</v>
      </c>
      <c r="E157" s="181"/>
      <c r="F157" s="180"/>
      <c r="G157" s="92">
        <v>0</v>
      </c>
      <c r="H157" s="73"/>
      <c r="I157" s="19"/>
    </row>
    <row r="158" spans="1:9" ht="12.2" customHeight="1">
      <c r="A158" s="47"/>
      <c r="B158" s="55"/>
      <c r="C158" s="55"/>
      <c r="D158" s="180" t="s">
        <v>1804</v>
      </c>
      <c r="E158" s="181"/>
      <c r="F158" s="180"/>
      <c r="G158" s="92">
        <v>0</v>
      </c>
      <c r="H158" s="73"/>
      <c r="I158" s="19"/>
    </row>
    <row r="159" spans="1:9" ht="12.2" customHeight="1">
      <c r="A159" s="47"/>
      <c r="B159" s="55"/>
      <c r="C159" s="55"/>
      <c r="D159" s="180" t="s">
        <v>1805</v>
      </c>
      <c r="E159" s="181"/>
      <c r="F159" s="180"/>
      <c r="G159" s="92">
        <v>0</v>
      </c>
      <c r="H159" s="73"/>
      <c r="I159" s="19"/>
    </row>
    <row r="160" spans="1:9" ht="12.2" customHeight="1">
      <c r="A160" s="47"/>
      <c r="B160" s="55"/>
      <c r="C160" s="55"/>
      <c r="D160" s="180" t="s">
        <v>1806</v>
      </c>
      <c r="E160" s="181"/>
      <c r="F160" s="180"/>
      <c r="G160" s="92">
        <v>0</v>
      </c>
      <c r="H160" s="73"/>
      <c r="I160" s="19"/>
    </row>
    <row r="161" spans="1:9" ht="12.2" customHeight="1">
      <c r="A161" s="47"/>
      <c r="B161" s="55"/>
      <c r="C161" s="55"/>
      <c r="D161" s="180" t="s">
        <v>1807</v>
      </c>
      <c r="E161" s="181"/>
      <c r="F161" s="180"/>
      <c r="G161" s="92">
        <v>0</v>
      </c>
      <c r="H161" s="73"/>
      <c r="I161" s="19"/>
    </row>
    <row r="162" spans="1:9" ht="12.2" customHeight="1">
      <c r="A162" s="47"/>
      <c r="B162" s="55"/>
      <c r="C162" s="55"/>
      <c r="D162" s="180" t="s">
        <v>1808</v>
      </c>
      <c r="E162" s="181"/>
      <c r="F162" s="180"/>
      <c r="G162" s="92">
        <v>0</v>
      </c>
      <c r="H162" s="73"/>
      <c r="I162" s="19"/>
    </row>
    <row r="163" spans="1:9" ht="12.2" customHeight="1">
      <c r="A163" s="47"/>
      <c r="B163" s="55"/>
      <c r="C163" s="55"/>
      <c r="D163" s="180" t="s">
        <v>1809</v>
      </c>
      <c r="E163" s="181"/>
      <c r="F163" s="180"/>
      <c r="G163" s="92">
        <v>0</v>
      </c>
      <c r="H163" s="73"/>
      <c r="I163" s="19"/>
    </row>
    <row r="164" spans="1:9">
      <c r="A164" s="87"/>
      <c r="B164" s="54"/>
      <c r="C164" s="54" t="s">
        <v>134</v>
      </c>
      <c r="D164" s="163" t="s">
        <v>185</v>
      </c>
      <c r="E164" s="164"/>
      <c r="F164" s="54"/>
      <c r="G164" s="77"/>
      <c r="H164" s="72"/>
      <c r="I164" s="19"/>
    </row>
    <row r="165" spans="1:9">
      <c r="A165" s="47" t="s">
        <v>304</v>
      </c>
      <c r="B165" s="55" t="s">
        <v>59</v>
      </c>
      <c r="C165" s="55" t="s">
        <v>734</v>
      </c>
      <c r="D165" s="165" t="s">
        <v>1128</v>
      </c>
      <c r="E165" s="166"/>
      <c r="F165" s="55" t="s">
        <v>1632</v>
      </c>
      <c r="G165" s="64">
        <v>241.5615</v>
      </c>
      <c r="H165" s="96">
        <v>0</v>
      </c>
      <c r="I165" s="19"/>
    </row>
    <row r="166" spans="1:9" ht="12.2" customHeight="1">
      <c r="A166" s="19"/>
      <c r="D166" s="180" t="s">
        <v>1820</v>
      </c>
      <c r="E166" s="181"/>
      <c r="F166" s="181"/>
      <c r="G166" s="92">
        <v>0</v>
      </c>
      <c r="H166" s="16"/>
      <c r="I166" s="19"/>
    </row>
    <row r="167" spans="1:9" ht="12.2" customHeight="1">
      <c r="A167" s="47"/>
      <c r="B167" s="55"/>
      <c r="C167" s="55"/>
      <c r="D167" s="180" t="s">
        <v>1821</v>
      </c>
      <c r="E167" s="181"/>
      <c r="F167" s="180"/>
      <c r="G167" s="92">
        <v>0</v>
      </c>
      <c r="H167" s="73"/>
      <c r="I167" s="19"/>
    </row>
    <row r="168" spans="1:9" ht="12.2" customHeight="1">
      <c r="A168" s="47"/>
      <c r="B168" s="55"/>
      <c r="C168" s="55"/>
      <c r="D168" s="180" t="s">
        <v>1822</v>
      </c>
      <c r="E168" s="181"/>
      <c r="F168" s="180"/>
      <c r="G168" s="92">
        <v>0</v>
      </c>
      <c r="H168" s="73"/>
      <c r="I168" s="19"/>
    </row>
    <row r="169" spans="1:9" ht="12.2" customHeight="1">
      <c r="A169" s="47"/>
      <c r="B169" s="55"/>
      <c r="C169" s="55"/>
      <c r="D169" s="180" t="s">
        <v>1823</v>
      </c>
      <c r="E169" s="181"/>
      <c r="F169" s="180"/>
      <c r="G169" s="92">
        <v>0</v>
      </c>
      <c r="H169" s="73"/>
      <c r="I169" s="19"/>
    </row>
    <row r="170" spans="1:9" ht="12.2" customHeight="1">
      <c r="A170" s="47"/>
      <c r="B170" s="55"/>
      <c r="C170" s="55"/>
      <c r="D170" s="180" t="s">
        <v>1824</v>
      </c>
      <c r="E170" s="181"/>
      <c r="F170" s="180"/>
      <c r="G170" s="92">
        <v>0</v>
      </c>
      <c r="H170" s="73"/>
      <c r="I170" s="19"/>
    </row>
    <row r="171" spans="1:9" ht="12.2" customHeight="1">
      <c r="A171" s="47"/>
      <c r="B171" s="55"/>
      <c r="C171" s="55"/>
      <c r="D171" s="180" t="s">
        <v>1825</v>
      </c>
      <c r="E171" s="181"/>
      <c r="F171" s="180"/>
      <c r="G171" s="92">
        <v>0</v>
      </c>
      <c r="H171" s="73"/>
      <c r="I171" s="19"/>
    </row>
    <row r="172" spans="1:9" ht="12.2" customHeight="1">
      <c r="A172" s="47"/>
      <c r="B172" s="55"/>
      <c r="C172" s="55"/>
      <c r="D172" s="180" t="s">
        <v>1826</v>
      </c>
      <c r="E172" s="181"/>
      <c r="F172" s="180"/>
      <c r="G172" s="92">
        <v>0</v>
      </c>
      <c r="H172" s="73"/>
      <c r="I172" s="19"/>
    </row>
    <row r="173" spans="1:9" ht="12.2" customHeight="1">
      <c r="A173" s="47"/>
      <c r="B173" s="55"/>
      <c r="C173" s="55"/>
      <c r="D173" s="180" t="s">
        <v>1827</v>
      </c>
      <c r="E173" s="181"/>
      <c r="F173" s="180"/>
      <c r="G173" s="92">
        <v>0</v>
      </c>
      <c r="H173" s="73"/>
      <c r="I173" s="19"/>
    </row>
    <row r="174" spans="1:9" ht="12.2" customHeight="1">
      <c r="A174" s="47"/>
      <c r="B174" s="55"/>
      <c r="C174" s="55"/>
      <c r="D174" s="180" t="s">
        <v>1828</v>
      </c>
      <c r="E174" s="181"/>
      <c r="F174" s="180"/>
      <c r="G174" s="92">
        <v>0</v>
      </c>
      <c r="H174" s="73"/>
      <c r="I174" s="19"/>
    </row>
    <row r="175" spans="1:9" ht="12.2" customHeight="1">
      <c r="A175" s="47"/>
      <c r="B175" s="55"/>
      <c r="C175" s="55"/>
      <c r="D175" s="180" t="s">
        <v>1829</v>
      </c>
      <c r="E175" s="181"/>
      <c r="F175" s="180"/>
      <c r="G175" s="92">
        <v>0</v>
      </c>
      <c r="H175" s="73"/>
      <c r="I175" s="19"/>
    </row>
    <row r="176" spans="1:9" ht="12.2" customHeight="1">
      <c r="A176" s="47"/>
      <c r="B176" s="55"/>
      <c r="C176" s="55"/>
      <c r="D176" s="180" t="s">
        <v>1830</v>
      </c>
      <c r="E176" s="181"/>
      <c r="F176" s="180"/>
      <c r="G176" s="92">
        <v>0</v>
      </c>
      <c r="H176" s="73"/>
      <c r="I176" s="19"/>
    </row>
    <row r="177" spans="1:9" ht="12.2" customHeight="1">
      <c r="A177" s="47"/>
      <c r="B177" s="55"/>
      <c r="C177" s="55"/>
      <c r="D177" s="180" t="s">
        <v>1831</v>
      </c>
      <c r="E177" s="181"/>
      <c r="F177" s="180"/>
      <c r="G177" s="92">
        <v>0</v>
      </c>
      <c r="H177" s="73"/>
      <c r="I177" s="19"/>
    </row>
    <row r="178" spans="1:9" ht="12.2" customHeight="1">
      <c r="A178" s="47"/>
      <c r="B178" s="55"/>
      <c r="C178" s="55"/>
      <c r="D178" s="180" t="s">
        <v>1832</v>
      </c>
      <c r="E178" s="181"/>
      <c r="F178" s="180"/>
      <c r="G178" s="92">
        <v>0</v>
      </c>
      <c r="H178" s="73"/>
      <c r="I178" s="19"/>
    </row>
    <row r="179" spans="1:9" ht="12.2" customHeight="1">
      <c r="A179" s="47"/>
      <c r="B179" s="55"/>
      <c r="C179" s="55"/>
      <c r="D179" s="180" t="s">
        <v>1833</v>
      </c>
      <c r="E179" s="181"/>
      <c r="F179" s="180"/>
      <c r="G179" s="92">
        <v>0</v>
      </c>
      <c r="H179" s="73"/>
      <c r="I179" s="19"/>
    </row>
    <row r="180" spans="1:9" ht="12.2" customHeight="1">
      <c r="A180" s="47"/>
      <c r="B180" s="55"/>
      <c r="C180" s="55"/>
      <c r="D180" s="180" t="s">
        <v>1834</v>
      </c>
      <c r="E180" s="181"/>
      <c r="F180" s="180"/>
      <c r="G180" s="92">
        <v>0</v>
      </c>
      <c r="H180" s="73"/>
      <c r="I180" s="19"/>
    </row>
    <row r="181" spans="1:9" ht="12.2" customHeight="1">
      <c r="A181" s="47"/>
      <c r="B181" s="55"/>
      <c r="C181" s="55"/>
      <c r="D181" s="180" t="s">
        <v>1835</v>
      </c>
      <c r="E181" s="181"/>
      <c r="F181" s="180"/>
      <c r="G181" s="92">
        <v>0</v>
      </c>
      <c r="H181" s="73"/>
      <c r="I181" s="19"/>
    </row>
    <row r="182" spans="1:9" ht="12.2" customHeight="1">
      <c r="A182" s="47" t="s">
        <v>305</v>
      </c>
      <c r="B182" s="55" t="s">
        <v>59</v>
      </c>
      <c r="C182" s="55" t="s">
        <v>735</v>
      </c>
      <c r="D182" s="180" t="s">
        <v>1836</v>
      </c>
      <c r="E182" s="181"/>
      <c r="F182" s="180"/>
      <c r="G182" s="92">
        <v>0</v>
      </c>
      <c r="H182" s="96">
        <v>0</v>
      </c>
      <c r="I182" s="19"/>
    </row>
    <row r="183" spans="1:9" ht="12.2" customHeight="1">
      <c r="A183" s="47" t="s">
        <v>306</v>
      </c>
      <c r="B183" s="55" t="s">
        <v>59</v>
      </c>
      <c r="C183" s="55" t="s">
        <v>736</v>
      </c>
      <c r="D183" s="180" t="s">
        <v>1837</v>
      </c>
      <c r="E183" s="181"/>
      <c r="F183" s="180"/>
      <c r="G183" s="92">
        <v>0</v>
      </c>
      <c r="H183" s="96">
        <v>0</v>
      </c>
      <c r="I183" s="19"/>
    </row>
    <row r="184" spans="1:9" ht="12.2" customHeight="1">
      <c r="A184" s="47"/>
      <c r="B184" s="55"/>
      <c r="C184" s="55"/>
      <c r="D184" s="180" t="s">
        <v>1838</v>
      </c>
      <c r="E184" s="181"/>
      <c r="F184" s="180"/>
      <c r="G184" s="92">
        <v>0</v>
      </c>
      <c r="H184" s="73"/>
      <c r="I184" s="19"/>
    </row>
    <row r="185" spans="1:9">
      <c r="A185" s="48" t="s">
        <v>307</v>
      </c>
      <c r="B185" s="56" t="s">
        <v>59</v>
      </c>
      <c r="C185" s="56" t="s">
        <v>737</v>
      </c>
      <c r="D185" s="170" t="s">
        <v>1131</v>
      </c>
      <c r="E185" s="171"/>
      <c r="F185" s="56" t="s">
        <v>1633</v>
      </c>
      <c r="G185" s="65">
        <v>28.16</v>
      </c>
      <c r="H185" s="97">
        <v>0</v>
      </c>
      <c r="I185" s="19"/>
    </row>
    <row r="186" spans="1:9" ht="12.2" customHeight="1">
      <c r="A186" s="19"/>
      <c r="D186" s="182" t="s">
        <v>1837</v>
      </c>
      <c r="E186" s="183"/>
      <c r="F186" s="183"/>
      <c r="G186" s="93">
        <v>0</v>
      </c>
      <c r="H186" s="16"/>
      <c r="I186" s="19"/>
    </row>
    <row r="187" spans="1:9" ht="12.2" customHeight="1">
      <c r="A187" s="48"/>
      <c r="B187" s="56"/>
      <c r="C187" s="56"/>
      <c r="D187" s="182" t="s">
        <v>1839</v>
      </c>
      <c r="E187" s="183"/>
      <c r="F187" s="182"/>
      <c r="G187" s="93">
        <v>0</v>
      </c>
      <c r="H187" s="74"/>
      <c r="I187" s="19"/>
    </row>
    <row r="188" spans="1:9">
      <c r="A188" s="48" t="s">
        <v>308</v>
      </c>
      <c r="B188" s="56" t="s">
        <v>59</v>
      </c>
      <c r="C188" s="56" t="s">
        <v>738</v>
      </c>
      <c r="D188" s="170" t="s">
        <v>1132</v>
      </c>
      <c r="E188" s="171"/>
      <c r="F188" s="56" t="s">
        <v>1633</v>
      </c>
      <c r="G188" s="65">
        <v>7.04</v>
      </c>
      <c r="H188" s="97">
        <v>0</v>
      </c>
      <c r="I188" s="19"/>
    </row>
    <row r="189" spans="1:9" ht="12.2" customHeight="1">
      <c r="A189" s="19"/>
      <c r="D189" s="182" t="s">
        <v>1838</v>
      </c>
      <c r="E189" s="183"/>
      <c r="F189" s="183"/>
      <c r="G189" s="93">
        <v>0</v>
      </c>
      <c r="H189" s="16"/>
      <c r="I189" s="19"/>
    </row>
    <row r="190" spans="1:9" ht="12.2" customHeight="1">
      <c r="A190" s="48"/>
      <c r="B190" s="56"/>
      <c r="C190" s="56"/>
      <c r="D190" s="182" t="s">
        <v>1840</v>
      </c>
      <c r="E190" s="183"/>
      <c r="F190" s="182"/>
      <c r="G190" s="93">
        <v>0</v>
      </c>
      <c r="H190" s="74"/>
      <c r="I190" s="19"/>
    </row>
    <row r="191" spans="1:9">
      <c r="A191" s="47" t="s">
        <v>309</v>
      </c>
      <c r="B191" s="55" t="s">
        <v>59</v>
      </c>
      <c r="C191" s="55" t="s">
        <v>739</v>
      </c>
      <c r="D191" s="165" t="s">
        <v>1133</v>
      </c>
      <c r="E191" s="166"/>
      <c r="F191" s="55" t="s">
        <v>1633</v>
      </c>
      <c r="G191" s="64">
        <v>448.34</v>
      </c>
      <c r="H191" s="96">
        <v>0</v>
      </c>
      <c r="I191" s="19"/>
    </row>
    <row r="192" spans="1:9" ht="12.2" customHeight="1">
      <c r="A192" s="19"/>
      <c r="D192" s="180" t="s">
        <v>1841</v>
      </c>
      <c r="E192" s="181"/>
      <c r="F192" s="181"/>
      <c r="G192" s="92">
        <v>0</v>
      </c>
      <c r="H192" s="16"/>
      <c r="I192" s="19"/>
    </row>
    <row r="193" spans="1:9" ht="12.2" customHeight="1">
      <c r="A193" s="47"/>
      <c r="B193" s="55"/>
      <c r="C193" s="55"/>
      <c r="D193" s="180" t="s">
        <v>1842</v>
      </c>
      <c r="E193" s="181"/>
      <c r="F193" s="180"/>
      <c r="G193" s="92">
        <v>0</v>
      </c>
      <c r="H193" s="73"/>
      <c r="I193" s="19"/>
    </row>
    <row r="194" spans="1:9" ht="12.2" customHeight="1">
      <c r="A194" s="47"/>
      <c r="B194" s="55"/>
      <c r="C194" s="55"/>
      <c r="D194" s="180" t="s">
        <v>1843</v>
      </c>
      <c r="E194" s="181"/>
      <c r="F194" s="180"/>
      <c r="G194" s="92">
        <v>0</v>
      </c>
      <c r="H194" s="73"/>
      <c r="I194" s="19"/>
    </row>
    <row r="195" spans="1:9" ht="12.2" customHeight="1">
      <c r="A195" s="47"/>
      <c r="B195" s="55"/>
      <c r="C195" s="55"/>
      <c r="D195" s="180" t="s">
        <v>1844</v>
      </c>
      <c r="E195" s="181"/>
      <c r="F195" s="180"/>
      <c r="G195" s="92">
        <v>0</v>
      </c>
      <c r="H195" s="73"/>
      <c r="I195" s="19"/>
    </row>
    <row r="196" spans="1:9" ht="12.2" customHeight="1">
      <c r="A196" s="47"/>
      <c r="B196" s="55"/>
      <c r="C196" s="55"/>
      <c r="D196" s="180" t="s">
        <v>1845</v>
      </c>
      <c r="E196" s="181"/>
      <c r="F196" s="180"/>
      <c r="G196" s="92">
        <v>0</v>
      </c>
      <c r="H196" s="73"/>
      <c r="I196" s="19"/>
    </row>
    <row r="197" spans="1:9" ht="12.2" customHeight="1">
      <c r="A197" s="47" t="s">
        <v>310</v>
      </c>
      <c r="B197" s="55" t="s">
        <v>59</v>
      </c>
      <c r="C197" s="55" t="s">
        <v>740</v>
      </c>
      <c r="D197" s="180" t="s">
        <v>1846</v>
      </c>
      <c r="E197" s="181"/>
      <c r="F197" s="180"/>
      <c r="G197" s="92">
        <v>0</v>
      </c>
      <c r="H197" s="96">
        <v>0</v>
      </c>
      <c r="I197" s="19"/>
    </row>
    <row r="198" spans="1:9" ht="12.2" customHeight="1">
      <c r="A198" s="47" t="s">
        <v>311</v>
      </c>
      <c r="B198" s="55" t="s">
        <v>59</v>
      </c>
      <c r="C198" s="55" t="s">
        <v>740</v>
      </c>
      <c r="D198" s="180" t="s">
        <v>1847</v>
      </c>
      <c r="E198" s="181"/>
      <c r="F198" s="180"/>
      <c r="G198" s="92">
        <v>0</v>
      </c>
      <c r="H198" s="96">
        <v>0</v>
      </c>
      <c r="I198" s="19"/>
    </row>
    <row r="199" spans="1:9" ht="12.2" customHeight="1">
      <c r="A199" s="47" t="s">
        <v>312</v>
      </c>
      <c r="B199" s="55" t="s">
        <v>59</v>
      </c>
      <c r="C199" s="55" t="s">
        <v>741</v>
      </c>
      <c r="D199" s="180" t="s">
        <v>1848</v>
      </c>
      <c r="E199" s="181"/>
      <c r="F199" s="180"/>
      <c r="G199" s="92">
        <v>0</v>
      </c>
      <c r="H199" s="96">
        <v>0</v>
      </c>
      <c r="I199" s="19"/>
    </row>
    <row r="200" spans="1:9" ht="12.2" customHeight="1">
      <c r="A200" s="47"/>
      <c r="B200" s="55"/>
      <c r="C200" s="55"/>
      <c r="D200" s="180" t="s">
        <v>1849</v>
      </c>
      <c r="E200" s="181"/>
      <c r="F200" s="180"/>
      <c r="G200" s="92">
        <v>0</v>
      </c>
      <c r="H200" s="73"/>
      <c r="I200" s="19"/>
    </row>
    <row r="201" spans="1:9">
      <c r="A201" s="47" t="s">
        <v>313</v>
      </c>
      <c r="B201" s="55" t="s">
        <v>59</v>
      </c>
      <c r="C201" s="55" t="s">
        <v>742</v>
      </c>
      <c r="D201" s="165" t="s">
        <v>1140</v>
      </c>
      <c r="E201" s="166"/>
      <c r="F201" s="55" t="s">
        <v>1633</v>
      </c>
      <c r="G201" s="64">
        <v>302.95</v>
      </c>
      <c r="H201" s="96">
        <v>0</v>
      </c>
      <c r="I201" s="19"/>
    </row>
    <row r="202" spans="1:9" ht="12.2" customHeight="1">
      <c r="A202" s="19"/>
      <c r="D202" s="180" t="s">
        <v>1850</v>
      </c>
      <c r="E202" s="181"/>
      <c r="F202" s="181"/>
      <c r="G202" s="92">
        <v>0</v>
      </c>
      <c r="H202" s="16"/>
      <c r="I202" s="19"/>
    </row>
    <row r="203" spans="1:9" ht="12.2" customHeight="1">
      <c r="A203" s="47"/>
      <c r="B203" s="55"/>
      <c r="C203" s="55"/>
      <c r="D203" s="180" t="s">
        <v>1851</v>
      </c>
      <c r="E203" s="181"/>
      <c r="F203" s="180"/>
      <c r="G203" s="92">
        <v>0</v>
      </c>
      <c r="H203" s="73"/>
      <c r="I203" s="19"/>
    </row>
    <row r="204" spans="1:9" ht="12.2" customHeight="1">
      <c r="A204" s="47"/>
      <c r="B204" s="55"/>
      <c r="C204" s="55"/>
      <c r="D204" s="180" t="s">
        <v>1852</v>
      </c>
      <c r="E204" s="181"/>
      <c r="F204" s="180"/>
      <c r="G204" s="92">
        <v>0</v>
      </c>
      <c r="H204" s="73"/>
      <c r="I204" s="19"/>
    </row>
    <row r="205" spans="1:9" ht="12.2" customHeight="1">
      <c r="A205" s="47"/>
      <c r="B205" s="55"/>
      <c r="C205" s="55"/>
      <c r="D205" s="180" t="s">
        <v>1853</v>
      </c>
      <c r="E205" s="181"/>
      <c r="F205" s="180"/>
      <c r="G205" s="92">
        <v>0</v>
      </c>
      <c r="H205" s="73"/>
      <c r="I205" s="19"/>
    </row>
    <row r="206" spans="1:9" ht="12.2" customHeight="1">
      <c r="A206" s="47"/>
      <c r="B206" s="55"/>
      <c r="C206" s="55"/>
      <c r="D206" s="180" t="s">
        <v>1854</v>
      </c>
      <c r="E206" s="181"/>
      <c r="F206" s="180"/>
      <c r="G206" s="92">
        <v>0</v>
      </c>
      <c r="H206" s="73"/>
      <c r="I206" s="19"/>
    </row>
    <row r="207" spans="1:9" ht="12.2" customHeight="1">
      <c r="A207" s="47"/>
      <c r="B207" s="55"/>
      <c r="C207" s="55"/>
      <c r="D207" s="180" t="s">
        <v>1855</v>
      </c>
      <c r="E207" s="181"/>
      <c r="F207" s="180"/>
      <c r="G207" s="92">
        <v>0</v>
      </c>
      <c r="H207" s="73"/>
      <c r="I207" s="19"/>
    </row>
    <row r="208" spans="1:9" ht="12.2" customHeight="1">
      <c r="A208" s="47"/>
      <c r="B208" s="55"/>
      <c r="C208" s="55"/>
      <c r="D208" s="180" t="s">
        <v>1856</v>
      </c>
      <c r="E208" s="181"/>
      <c r="F208" s="180"/>
      <c r="G208" s="92">
        <v>0</v>
      </c>
      <c r="H208" s="73"/>
      <c r="I208" s="19"/>
    </row>
    <row r="209" spans="1:9" ht="12.2" customHeight="1">
      <c r="A209" s="47"/>
      <c r="B209" s="55"/>
      <c r="C209" s="55"/>
      <c r="D209" s="180" t="s">
        <v>1857</v>
      </c>
      <c r="E209" s="181"/>
      <c r="F209" s="180"/>
      <c r="G209" s="92">
        <v>0</v>
      </c>
      <c r="H209" s="73"/>
      <c r="I209" s="19"/>
    </row>
    <row r="210" spans="1:9" ht="12.2" customHeight="1">
      <c r="A210" s="47"/>
      <c r="B210" s="55"/>
      <c r="C210" s="55"/>
      <c r="D210" s="180" t="s">
        <v>1858</v>
      </c>
      <c r="E210" s="181"/>
      <c r="F210" s="180"/>
      <c r="G210" s="92">
        <v>0</v>
      </c>
      <c r="H210" s="73"/>
      <c r="I210" s="19"/>
    </row>
    <row r="211" spans="1:9" ht="12.2" customHeight="1">
      <c r="A211" s="47"/>
      <c r="B211" s="55"/>
      <c r="C211" s="55"/>
      <c r="D211" s="180" t="s">
        <v>1859</v>
      </c>
      <c r="E211" s="181"/>
      <c r="F211" s="180"/>
      <c r="G211" s="92">
        <v>0</v>
      </c>
      <c r="H211" s="73"/>
      <c r="I211" s="19"/>
    </row>
    <row r="212" spans="1:9" ht="12.2" customHeight="1">
      <c r="A212" s="47"/>
      <c r="B212" s="55"/>
      <c r="C212" s="55"/>
      <c r="D212" s="180" t="s">
        <v>1858</v>
      </c>
      <c r="E212" s="181"/>
      <c r="F212" s="180"/>
      <c r="G212" s="92">
        <v>0</v>
      </c>
      <c r="H212" s="73"/>
      <c r="I212" s="19"/>
    </row>
    <row r="213" spans="1:9" ht="12.2" customHeight="1">
      <c r="A213" s="47"/>
      <c r="B213" s="55"/>
      <c r="C213" s="55"/>
      <c r="D213" s="180" t="s">
        <v>1845</v>
      </c>
      <c r="E213" s="181"/>
      <c r="F213" s="180"/>
      <c r="G213" s="92">
        <v>0</v>
      </c>
      <c r="H213" s="73"/>
      <c r="I213" s="19"/>
    </row>
    <row r="214" spans="1:9">
      <c r="A214" s="48" t="s">
        <v>314</v>
      </c>
      <c r="B214" s="56" t="s">
        <v>59</v>
      </c>
      <c r="C214" s="56" t="s">
        <v>743</v>
      </c>
      <c r="D214" s="170" t="s">
        <v>1141</v>
      </c>
      <c r="E214" s="171"/>
      <c r="F214" s="56" t="s">
        <v>1633</v>
      </c>
      <c r="G214" s="65">
        <v>333.245</v>
      </c>
      <c r="H214" s="97">
        <v>0</v>
      </c>
      <c r="I214" s="19"/>
    </row>
    <row r="215" spans="1:9" ht="12.2" customHeight="1">
      <c r="A215" s="19"/>
      <c r="D215" s="182" t="s">
        <v>1850</v>
      </c>
      <c r="E215" s="183"/>
      <c r="F215" s="183"/>
      <c r="G215" s="93">
        <v>0</v>
      </c>
      <c r="H215" s="16"/>
      <c r="I215" s="19"/>
    </row>
    <row r="216" spans="1:9" ht="12.2" customHeight="1">
      <c r="A216" s="48"/>
      <c r="B216" s="56"/>
      <c r="C216" s="56"/>
      <c r="D216" s="182" t="s">
        <v>1851</v>
      </c>
      <c r="E216" s="183"/>
      <c r="F216" s="182"/>
      <c r="G216" s="93">
        <v>0</v>
      </c>
      <c r="H216" s="74"/>
      <c r="I216" s="19"/>
    </row>
    <row r="217" spans="1:9" ht="12.2" customHeight="1">
      <c r="A217" s="48"/>
      <c r="B217" s="56"/>
      <c r="C217" s="56"/>
      <c r="D217" s="182" t="s">
        <v>1852</v>
      </c>
      <c r="E217" s="183"/>
      <c r="F217" s="182"/>
      <c r="G217" s="93">
        <v>0</v>
      </c>
      <c r="H217" s="74"/>
      <c r="I217" s="19"/>
    </row>
    <row r="218" spans="1:9" ht="12.2" customHeight="1">
      <c r="A218" s="48"/>
      <c r="B218" s="56"/>
      <c r="C218" s="56"/>
      <c r="D218" s="182" t="s">
        <v>1853</v>
      </c>
      <c r="E218" s="183"/>
      <c r="F218" s="182"/>
      <c r="G218" s="93">
        <v>0</v>
      </c>
      <c r="H218" s="74"/>
      <c r="I218" s="19"/>
    </row>
    <row r="219" spans="1:9" ht="12.2" customHeight="1">
      <c r="A219" s="48"/>
      <c r="B219" s="56"/>
      <c r="C219" s="56"/>
      <c r="D219" s="182" t="s">
        <v>1854</v>
      </c>
      <c r="E219" s="183"/>
      <c r="F219" s="182"/>
      <c r="G219" s="93">
        <v>0</v>
      </c>
      <c r="H219" s="74"/>
      <c r="I219" s="19"/>
    </row>
    <row r="220" spans="1:9" ht="12.2" customHeight="1">
      <c r="A220" s="48"/>
      <c r="B220" s="56"/>
      <c r="C220" s="56"/>
      <c r="D220" s="182" t="s">
        <v>1855</v>
      </c>
      <c r="E220" s="183"/>
      <c r="F220" s="182"/>
      <c r="G220" s="93">
        <v>0</v>
      </c>
      <c r="H220" s="74"/>
      <c r="I220" s="19"/>
    </row>
    <row r="221" spans="1:9" ht="12.2" customHeight="1">
      <c r="A221" s="48"/>
      <c r="B221" s="56"/>
      <c r="C221" s="56"/>
      <c r="D221" s="182" t="s">
        <v>1856</v>
      </c>
      <c r="E221" s="183"/>
      <c r="F221" s="182"/>
      <c r="G221" s="93">
        <v>0</v>
      </c>
      <c r="H221" s="74"/>
      <c r="I221" s="19"/>
    </row>
    <row r="222" spans="1:9" ht="12.2" customHeight="1">
      <c r="A222" s="48"/>
      <c r="B222" s="56"/>
      <c r="C222" s="56"/>
      <c r="D222" s="182" t="s">
        <v>1857</v>
      </c>
      <c r="E222" s="183"/>
      <c r="F222" s="182"/>
      <c r="G222" s="93">
        <v>0</v>
      </c>
      <c r="H222" s="74"/>
      <c r="I222" s="19"/>
    </row>
    <row r="223" spans="1:9" ht="12.2" customHeight="1">
      <c r="A223" s="48"/>
      <c r="B223" s="56"/>
      <c r="C223" s="56"/>
      <c r="D223" s="182" t="s">
        <v>1858</v>
      </c>
      <c r="E223" s="183"/>
      <c r="F223" s="182"/>
      <c r="G223" s="93">
        <v>0</v>
      </c>
      <c r="H223" s="74"/>
      <c r="I223" s="19"/>
    </row>
    <row r="224" spans="1:9" ht="12.2" customHeight="1">
      <c r="A224" s="48"/>
      <c r="B224" s="56"/>
      <c r="C224" s="56"/>
      <c r="D224" s="182" t="s">
        <v>1859</v>
      </c>
      <c r="E224" s="183"/>
      <c r="F224" s="182"/>
      <c r="G224" s="93">
        <v>0</v>
      </c>
      <c r="H224" s="74"/>
      <c r="I224" s="19"/>
    </row>
    <row r="225" spans="1:9" ht="12.2" customHeight="1">
      <c r="A225" s="48"/>
      <c r="B225" s="56"/>
      <c r="C225" s="56"/>
      <c r="D225" s="182" t="s">
        <v>1858</v>
      </c>
      <c r="E225" s="183"/>
      <c r="F225" s="182"/>
      <c r="G225" s="93">
        <v>0</v>
      </c>
      <c r="H225" s="74"/>
      <c r="I225" s="19"/>
    </row>
    <row r="226" spans="1:9" ht="12.2" customHeight="1">
      <c r="A226" s="48"/>
      <c r="B226" s="56"/>
      <c r="C226" s="56"/>
      <c r="D226" s="182" t="s">
        <v>1845</v>
      </c>
      <c r="E226" s="183"/>
      <c r="F226" s="182"/>
      <c r="G226" s="93">
        <v>0</v>
      </c>
      <c r="H226" s="74"/>
      <c r="I226" s="19"/>
    </row>
    <row r="227" spans="1:9" ht="12.2" customHeight="1">
      <c r="A227" s="48"/>
      <c r="B227" s="56"/>
      <c r="C227" s="56"/>
      <c r="D227" s="182" t="s">
        <v>1860</v>
      </c>
      <c r="E227" s="183"/>
      <c r="F227" s="182"/>
      <c r="G227" s="93">
        <v>0</v>
      </c>
      <c r="H227" s="74"/>
      <c r="I227" s="19"/>
    </row>
    <row r="228" spans="1:9">
      <c r="A228" s="47" t="s">
        <v>315</v>
      </c>
      <c r="B228" s="55" t="s">
        <v>59</v>
      </c>
      <c r="C228" s="55" t="s">
        <v>744</v>
      </c>
      <c r="D228" s="165" t="s">
        <v>1142</v>
      </c>
      <c r="E228" s="166"/>
      <c r="F228" s="55" t="s">
        <v>1632</v>
      </c>
      <c r="G228" s="64">
        <v>900.98050000000001</v>
      </c>
      <c r="H228" s="96">
        <v>0</v>
      </c>
      <c r="I228" s="19"/>
    </row>
    <row r="229" spans="1:9" ht="12.2" customHeight="1">
      <c r="A229" s="19"/>
      <c r="D229" s="180" t="s">
        <v>1861</v>
      </c>
      <c r="E229" s="181"/>
      <c r="F229" s="181"/>
      <c r="G229" s="92">
        <v>0</v>
      </c>
      <c r="H229" s="16"/>
      <c r="I229" s="19"/>
    </row>
    <row r="230" spans="1:9" ht="12.2" customHeight="1">
      <c r="A230" s="47"/>
      <c r="B230" s="55"/>
      <c r="C230" s="55"/>
      <c r="D230" s="180" t="s">
        <v>1862</v>
      </c>
      <c r="E230" s="181"/>
      <c r="F230" s="180"/>
      <c r="G230" s="92">
        <v>0</v>
      </c>
      <c r="H230" s="73"/>
      <c r="I230" s="19"/>
    </row>
    <row r="231" spans="1:9" ht="12.2" customHeight="1">
      <c r="A231" s="47"/>
      <c r="B231" s="55"/>
      <c r="C231" s="55"/>
      <c r="D231" s="180" t="s">
        <v>1842</v>
      </c>
      <c r="E231" s="181"/>
      <c r="F231" s="180"/>
      <c r="G231" s="92">
        <v>0</v>
      </c>
      <c r="H231" s="73"/>
      <c r="I231" s="19"/>
    </row>
    <row r="232" spans="1:9" ht="12.2" customHeight="1">
      <c r="A232" s="47"/>
      <c r="B232" s="55"/>
      <c r="C232" s="55"/>
      <c r="D232" s="180" t="s">
        <v>1863</v>
      </c>
      <c r="E232" s="181"/>
      <c r="F232" s="180"/>
      <c r="G232" s="92">
        <v>0</v>
      </c>
      <c r="H232" s="73"/>
      <c r="I232" s="19"/>
    </row>
    <row r="233" spans="1:9" ht="12.2" customHeight="1">
      <c r="A233" s="47"/>
      <c r="B233" s="55"/>
      <c r="C233" s="55"/>
      <c r="D233" s="180" t="s">
        <v>1864</v>
      </c>
      <c r="E233" s="181"/>
      <c r="F233" s="180"/>
      <c r="G233" s="92">
        <v>0</v>
      </c>
      <c r="H233" s="73"/>
      <c r="I233" s="19"/>
    </row>
    <row r="234" spans="1:9" ht="12.2" customHeight="1">
      <c r="A234" s="47"/>
      <c r="B234" s="55"/>
      <c r="C234" s="55"/>
      <c r="D234" s="180" t="s">
        <v>1865</v>
      </c>
      <c r="E234" s="181"/>
      <c r="F234" s="180"/>
      <c r="G234" s="92">
        <v>0</v>
      </c>
      <c r="H234" s="73"/>
      <c r="I234" s="19"/>
    </row>
    <row r="235" spans="1:9" ht="12.2" customHeight="1">
      <c r="A235" s="47"/>
      <c r="B235" s="55"/>
      <c r="C235" s="55"/>
      <c r="D235" s="180" t="s">
        <v>1866</v>
      </c>
      <c r="E235" s="181"/>
      <c r="F235" s="180"/>
      <c r="G235" s="92">
        <v>0</v>
      </c>
      <c r="H235" s="73"/>
      <c r="I235" s="19"/>
    </row>
    <row r="236" spans="1:9" ht="12.2" customHeight="1">
      <c r="A236" s="47"/>
      <c r="B236" s="55"/>
      <c r="C236" s="55"/>
      <c r="D236" s="180" t="s">
        <v>1867</v>
      </c>
      <c r="E236" s="181"/>
      <c r="F236" s="180"/>
      <c r="G236" s="92">
        <v>0</v>
      </c>
      <c r="H236" s="73"/>
      <c r="I236" s="19"/>
    </row>
    <row r="237" spans="1:9" ht="12.2" customHeight="1">
      <c r="A237" s="47"/>
      <c r="B237" s="55"/>
      <c r="C237" s="55"/>
      <c r="D237" s="180" t="s">
        <v>1868</v>
      </c>
      <c r="E237" s="181"/>
      <c r="F237" s="180"/>
      <c r="G237" s="92">
        <v>0</v>
      </c>
      <c r="H237" s="73"/>
      <c r="I237" s="19"/>
    </row>
    <row r="238" spans="1:9" ht="12.2" customHeight="1">
      <c r="A238" s="47"/>
      <c r="B238" s="55"/>
      <c r="C238" s="55"/>
      <c r="D238" s="180" t="s">
        <v>1869</v>
      </c>
      <c r="E238" s="181"/>
      <c r="F238" s="180"/>
      <c r="G238" s="92">
        <v>0</v>
      </c>
      <c r="H238" s="73"/>
      <c r="I238" s="19"/>
    </row>
    <row r="239" spans="1:9" ht="12.2" customHeight="1">
      <c r="A239" s="47"/>
      <c r="B239" s="55"/>
      <c r="C239" s="55"/>
      <c r="D239" s="180" t="s">
        <v>1870</v>
      </c>
      <c r="E239" s="181"/>
      <c r="F239" s="180"/>
      <c r="G239" s="92">
        <v>0</v>
      </c>
      <c r="H239" s="73"/>
      <c r="I239" s="19"/>
    </row>
    <row r="240" spans="1:9" ht="12.2" customHeight="1">
      <c r="A240" s="47"/>
      <c r="B240" s="55"/>
      <c r="C240" s="55"/>
      <c r="D240" s="180" t="s">
        <v>1871</v>
      </c>
      <c r="E240" s="181"/>
      <c r="F240" s="180"/>
      <c r="G240" s="92">
        <v>0</v>
      </c>
      <c r="H240" s="73"/>
      <c r="I240" s="19"/>
    </row>
    <row r="241" spans="1:9" ht="12.2" customHeight="1">
      <c r="A241" s="47"/>
      <c r="B241" s="55"/>
      <c r="C241" s="55"/>
      <c r="D241" s="180" t="s">
        <v>1872</v>
      </c>
      <c r="E241" s="181"/>
      <c r="F241" s="180"/>
      <c r="G241" s="92">
        <v>0</v>
      </c>
      <c r="H241" s="73"/>
      <c r="I241" s="19"/>
    </row>
    <row r="242" spans="1:9" ht="12.2" customHeight="1">
      <c r="A242" s="47"/>
      <c r="B242" s="55"/>
      <c r="C242" s="55"/>
      <c r="D242" s="180" t="s">
        <v>1873</v>
      </c>
      <c r="E242" s="181"/>
      <c r="F242" s="180"/>
      <c r="G242" s="92">
        <v>0</v>
      </c>
      <c r="H242" s="73"/>
      <c r="I242" s="19"/>
    </row>
    <row r="243" spans="1:9" ht="12.2" customHeight="1">
      <c r="A243" s="47"/>
      <c r="B243" s="55"/>
      <c r="C243" s="55"/>
      <c r="D243" s="180" t="s">
        <v>1844</v>
      </c>
      <c r="E243" s="181"/>
      <c r="F243" s="180"/>
      <c r="G243" s="92">
        <v>0</v>
      </c>
      <c r="H243" s="73"/>
      <c r="I243" s="19"/>
    </row>
    <row r="244" spans="1:9" ht="12.2" customHeight="1">
      <c r="A244" s="47"/>
      <c r="B244" s="55"/>
      <c r="C244" s="55"/>
      <c r="D244" s="180" t="s">
        <v>1874</v>
      </c>
      <c r="E244" s="181"/>
      <c r="F244" s="180"/>
      <c r="G244" s="92">
        <v>0</v>
      </c>
      <c r="H244" s="73"/>
      <c r="I244" s="19"/>
    </row>
    <row r="245" spans="1:9" ht="12.2" customHeight="1">
      <c r="A245" s="47"/>
      <c r="B245" s="55"/>
      <c r="C245" s="55"/>
      <c r="D245" s="180" t="s">
        <v>1875</v>
      </c>
      <c r="E245" s="181"/>
      <c r="F245" s="180"/>
      <c r="G245" s="92">
        <v>0</v>
      </c>
      <c r="H245" s="73"/>
      <c r="I245" s="19"/>
    </row>
    <row r="246" spans="1:9" ht="12.2" customHeight="1">
      <c r="A246" s="47"/>
      <c r="B246" s="55"/>
      <c r="C246" s="55"/>
      <c r="D246" s="180" t="s">
        <v>1876</v>
      </c>
      <c r="E246" s="181"/>
      <c r="F246" s="180"/>
      <c r="G246" s="92">
        <v>0</v>
      </c>
      <c r="H246" s="73"/>
      <c r="I246" s="19"/>
    </row>
    <row r="247" spans="1:9" ht="12.2" customHeight="1">
      <c r="A247" s="47"/>
      <c r="B247" s="55"/>
      <c r="C247" s="55"/>
      <c r="D247" s="180" t="s">
        <v>1877</v>
      </c>
      <c r="E247" s="181"/>
      <c r="F247" s="180"/>
      <c r="G247" s="92">
        <v>0</v>
      </c>
      <c r="H247" s="73"/>
      <c r="I247" s="19"/>
    </row>
    <row r="248" spans="1:9" ht="12.2" customHeight="1">
      <c r="A248" s="47"/>
      <c r="B248" s="55"/>
      <c r="C248" s="55"/>
      <c r="D248" s="180" t="s">
        <v>1878</v>
      </c>
      <c r="E248" s="181"/>
      <c r="F248" s="180"/>
      <c r="G248" s="92">
        <v>0</v>
      </c>
      <c r="H248" s="73"/>
      <c r="I248" s="19"/>
    </row>
    <row r="249" spans="1:9" ht="12.2" customHeight="1">
      <c r="A249" s="47"/>
      <c r="B249" s="55"/>
      <c r="C249" s="55"/>
      <c r="D249" s="180" t="s">
        <v>1879</v>
      </c>
      <c r="E249" s="181"/>
      <c r="F249" s="180"/>
      <c r="G249" s="92">
        <v>0</v>
      </c>
      <c r="H249" s="73"/>
      <c r="I249" s="19"/>
    </row>
    <row r="250" spans="1:9" ht="12.2" customHeight="1">
      <c r="A250" s="47"/>
      <c r="B250" s="55"/>
      <c r="C250" s="55"/>
      <c r="D250" s="180" t="s">
        <v>1880</v>
      </c>
      <c r="E250" s="181"/>
      <c r="F250" s="180"/>
      <c r="G250" s="92">
        <v>0</v>
      </c>
      <c r="H250" s="73"/>
      <c r="I250" s="19"/>
    </row>
    <row r="251" spans="1:9" ht="12.2" customHeight="1">
      <c r="A251" s="47"/>
      <c r="B251" s="55"/>
      <c r="C251" s="55"/>
      <c r="D251" s="180" t="s">
        <v>1881</v>
      </c>
      <c r="E251" s="181"/>
      <c r="F251" s="180"/>
      <c r="G251" s="92">
        <v>0</v>
      </c>
      <c r="H251" s="73"/>
      <c r="I251" s="19"/>
    </row>
    <row r="252" spans="1:9" ht="12.2" customHeight="1">
      <c r="A252" s="47"/>
      <c r="B252" s="55"/>
      <c r="C252" s="55"/>
      <c r="D252" s="180" t="s">
        <v>1882</v>
      </c>
      <c r="E252" s="181"/>
      <c r="F252" s="180"/>
      <c r="G252" s="92">
        <v>0</v>
      </c>
      <c r="H252" s="73"/>
      <c r="I252" s="19"/>
    </row>
    <row r="253" spans="1:9" ht="12.2" customHeight="1">
      <c r="A253" s="47"/>
      <c r="B253" s="55"/>
      <c r="C253" s="55"/>
      <c r="D253" s="180" t="s">
        <v>1883</v>
      </c>
      <c r="E253" s="181"/>
      <c r="F253" s="180"/>
      <c r="G253" s="92">
        <v>0</v>
      </c>
      <c r="H253" s="73"/>
      <c r="I253" s="19"/>
    </row>
    <row r="254" spans="1:9" ht="12.2" customHeight="1">
      <c r="A254" s="47"/>
      <c r="B254" s="55"/>
      <c r="C254" s="55"/>
      <c r="D254" s="180" t="s">
        <v>1884</v>
      </c>
      <c r="E254" s="181"/>
      <c r="F254" s="180"/>
      <c r="G254" s="92">
        <v>0</v>
      </c>
      <c r="H254" s="73"/>
      <c r="I254" s="19"/>
    </row>
    <row r="255" spans="1:9" ht="12.2" customHeight="1">
      <c r="A255" s="47"/>
      <c r="B255" s="55"/>
      <c r="C255" s="55"/>
      <c r="D255" s="180" t="s">
        <v>1885</v>
      </c>
      <c r="E255" s="181"/>
      <c r="F255" s="180"/>
      <c r="G255" s="92">
        <v>0</v>
      </c>
      <c r="H255" s="73"/>
      <c r="I255" s="19"/>
    </row>
    <row r="256" spans="1:9" ht="12.2" customHeight="1">
      <c r="A256" s="47"/>
      <c r="B256" s="55"/>
      <c r="C256" s="55"/>
      <c r="D256" s="180" t="s">
        <v>1871</v>
      </c>
      <c r="E256" s="181"/>
      <c r="F256" s="180"/>
      <c r="G256" s="92">
        <v>0</v>
      </c>
      <c r="H256" s="73"/>
      <c r="I256" s="19"/>
    </row>
    <row r="257" spans="1:9" ht="12.2" customHeight="1">
      <c r="A257" s="47"/>
      <c r="B257" s="55"/>
      <c r="C257" s="55"/>
      <c r="D257" s="180" t="s">
        <v>1886</v>
      </c>
      <c r="E257" s="181"/>
      <c r="F257" s="180"/>
      <c r="G257" s="92">
        <v>0</v>
      </c>
      <c r="H257" s="73"/>
      <c r="I257" s="19"/>
    </row>
    <row r="258" spans="1:9" ht="12.2" customHeight="1">
      <c r="A258" s="47"/>
      <c r="B258" s="55"/>
      <c r="C258" s="55"/>
      <c r="D258" s="180" t="s">
        <v>1887</v>
      </c>
      <c r="E258" s="181"/>
      <c r="F258" s="180"/>
      <c r="G258" s="92">
        <v>0</v>
      </c>
      <c r="H258" s="73"/>
      <c r="I258" s="19"/>
    </row>
    <row r="259" spans="1:9" ht="12.2" customHeight="1">
      <c r="A259" s="47"/>
      <c r="B259" s="55"/>
      <c r="C259" s="55"/>
      <c r="D259" s="180" t="s">
        <v>1888</v>
      </c>
      <c r="E259" s="181"/>
      <c r="F259" s="180"/>
      <c r="G259" s="92">
        <v>0</v>
      </c>
      <c r="H259" s="73"/>
      <c r="I259" s="19"/>
    </row>
    <row r="260" spans="1:9" ht="12.2" customHeight="1">
      <c r="A260" s="47"/>
      <c r="B260" s="55"/>
      <c r="C260" s="55"/>
      <c r="D260" s="180" t="s">
        <v>1889</v>
      </c>
      <c r="E260" s="181"/>
      <c r="F260" s="180"/>
      <c r="G260" s="92">
        <v>0</v>
      </c>
      <c r="H260" s="73"/>
      <c r="I260" s="19"/>
    </row>
    <row r="261" spans="1:9" ht="12.2" customHeight="1">
      <c r="A261" s="47"/>
      <c r="B261" s="55"/>
      <c r="C261" s="55"/>
      <c r="D261" s="180" t="s">
        <v>1890</v>
      </c>
      <c r="E261" s="181"/>
      <c r="F261" s="180"/>
      <c r="G261" s="92">
        <v>0</v>
      </c>
      <c r="H261" s="73"/>
      <c r="I261" s="19"/>
    </row>
    <row r="262" spans="1:9" ht="12.2" customHeight="1">
      <c r="A262" s="47"/>
      <c r="B262" s="55"/>
      <c r="C262" s="55"/>
      <c r="D262" s="180" t="s">
        <v>1891</v>
      </c>
      <c r="E262" s="181"/>
      <c r="F262" s="180"/>
      <c r="G262" s="92">
        <v>0</v>
      </c>
      <c r="H262" s="73"/>
      <c r="I262" s="19"/>
    </row>
    <row r="263" spans="1:9" ht="12.2" customHeight="1">
      <c r="A263" s="47"/>
      <c r="B263" s="55"/>
      <c r="C263" s="55"/>
      <c r="D263" s="180" t="s">
        <v>1892</v>
      </c>
      <c r="E263" s="181"/>
      <c r="F263" s="180"/>
      <c r="G263" s="92">
        <v>0</v>
      </c>
      <c r="H263" s="73"/>
      <c r="I263" s="19"/>
    </row>
    <row r="264" spans="1:9">
      <c r="A264" s="47" t="s">
        <v>316</v>
      </c>
      <c r="B264" s="55" t="s">
        <v>59</v>
      </c>
      <c r="C264" s="55" t="s">
        <v>745</v>
      </c>
      <c r="D264" s="165" t="s">
        <v>1144</v>
      </c>
      <c r="E264" s="166"/>
      <c r="F264" s="55" t="s">
        <v>1632</v>
      </c>
      <c r="G264" s="64">
        <v>275.04950000000002</v>
      </c>
      <c r="H264" s="96">
        <v>0</v>
      </c>
      <c r="I264" s="19"/>
    </row>
    <row r="265" spans="1:9" ht="12.2" customHeight="1">
      <c r="A265" s="19"/>
      <c r="D265" s="180" t="s">
        <v>1893</v>
      </c>
      <c r="E265" s="181"/>
      <c r="F265" s="181"/>
      <c r="G265" s="92">
        <v>0</v>
      </c>
      <c r="H265" s="16"/>
      <c r="I265" s="19"/>
    </row>
    <row r="266" spans="1:9" ht="12.2" customHeight="1">
      <c r="A266" s="47"/>
      <c r="B266" s="55"/>
      <c r="C266" s="55"/>
      <c r="D266" s="180" t="s">
        <v>1894</v>
      </c>
      <c r="E266" s="181"/>
      <c r="F266" s="180"/>
      <c r="G266" s="92">
        <v>0</v>
      </c>
      <c r="H266" s="73"/>
      <c r="I266" s="19"/>
    </row>
    <row r="267" spans="1:9" ht="12.2" customHeight="1">
      <c r="A267" s="47"/>
      <c r="B267" s="55"/>
      <c r="C267" s="55"/>
      <c r="D267" s="180" t="s">
        <v>1895</v>
      </c>
      <c r="E267" s="181"/>
      <c r="F267" s="180"/>
      <c r="G267" s="92">
        <v>0</v>
      </c>
      <c r="H267" s="73"/>
      <c r="I267" s="19"/>
    </row>
    <row r="268" spans="1:9" ht="12.2" customHeight="1">
      <c r="A268" s="47"/>
      <c r="B268" s="55"/>
      <c r="C268" s="55"/>
      <c r="D268" s="180" t="s">
        <v>1896</v>
      </c>
      <c r="E268" s="181"/>
      <c r="F268" s="180"/>
      <c r="G268" s="92">
        <v>0</v>
      </c>
      <c r="H268" s="73"/>
      <c r="I268" s="19"/>
    </row>
    <row r="269" spans="1:9" ht="12.2" customHeight="1">
      <c r="A269" s="47"/>
      <c r="B269" s="55"/>
      <c r="C269" s="55"/>
      <c r="D269" s="180" t="s">
        <v>1897</v>
      </c>
      <c r="E269" s="181"/>
      <c r="F269" s="180"/>
      <c r="G269" s="92">
        <v>0</v>
      </c>
      <c r="H269" s="73"/>
      <c r="I269" s="19"/>
    </row>
    <row r="270" spans="1:9" ht="12.2" customHeight="1">
      <c r="A270" s="47"/>
      <c r="B270" s="55"/>
      <c r="C270" s="55"/>
      <c r="D270" s="180" t="s">
        <v>1898</v>
      </c>
      <c r="E270" s="181"/>
      <c r="F270" s="180"/>
      <c r="G270" s="92">
        <v>0</v>
      </c>
      <c r="H270" s="73"/>
      <c r="I270" s="19"/>
    </row>
    <row r="271" spans="1:9" ht="12.2" customHeight="1">
      <c r="A271" s="47"/>
      <c r="B271" s="55"/>
      <c r="C271" s="55"/>
      <c r="D271" s="180" t="s">
        <v>1899</v>
      </c>
      <c r="E271" s="181"/>
      <c r="F271" s="180"/>
      <c r="G271" s="92">
        <v>0</v>
      </c>
      <c r="H271" s="73"/>
      <c r="I271" s="19"/>
    </row>
    <row r="272" spans="1:9" ht="12.2" customHeight="1">
      <c r="A272" s="47"/>
      <c r="B272" s="55"/>
      <c r="C272" s="55"/>
      <c r="D272" s="180" t="s">
        <v>1900</v>
      </c>
      <c r="E272" s="181"/>
      <c r="F272" s="180"/>
      <c r="G272" s="92">
        <v>0</v>
      </c>
      <c r="H272" s="73"/>
      <c r="I272" s="19"/>
    </row>
    <row r="273" spans="1:9" ht="12.2" customHeight="1">
      <c r="A273" s="47"/>
      <c r="B273" s="55"/>
      <c r="C273" s="55"/>
      <c r="D273" s="180" t="s">
        <v>1901</v>
      </c>
      <c r="E273" s="181"/>
      <c r="F273" s="180"/>
      <c r="G273" s="92">
        <v>0</v>
      </c>
      <c r="H273" s="73"/>
      <c r="I273" s="19"/>
    </row>
    <row r="274" spans="1:9" ht="12.2" customHeight="1">
      <c r="A274" s="47"/>
      <c r="B274" s="55"/>
      <c r="C274" s="55"/>
      <c r="D274" s="180" t="s">
        <v>1902</v>
      </c>
      <c r="E274" s="181"/>
      <c r="F274" s="180"/>
      <c r="G274" s="92">
        <v>0</v>
      </c>
      <c r="H274" s="73"/>
      <c r="I274" s="19"/>
    </row>
    <row r="275" spans="1:9" ht="12.2" customHeight="1">
      <c r="A275" s="47"/>
      <c r="B275" s="55"/>
      <c r="C275" s="55"/>
      <c r="D275" s="180" t="s">
        <v>1903</v>
      </c>
      <c r="E275" s="181"/>
      <c r="F275" s="180"/>
      <c r="G275" s="92">
        <v>0</v>
      </c>
      <c r="H275" s="73"/>
      <c r="I275" s="19"/>
    </row>
    <row r="276" spans="1:9" ht="12.2" customHeight="1">
      <c r="A276" s="47"/>
      <c r="B276" s="55"/>
      <c r="C276" s="55"/>
      <c r="D276" s="180" t="s">
        <v>1904</v>
      </c>
      <c r="E276" s="181"/>
      <c r="F276" s="180"/>
      <c r="G276" s="92">
        <v>0</v>
      </c>
      <c r="H276" s="73"/>
      <c r="I276" s="19"/>
    </row>
    <row r="277" spans="1:9" ht="12.2" customHeight="1">
      <c r="A277" s="47"/>
      <c r="B277" s="55"/>
      <c r="C277" s="55"/>
      <c r="D277" s="180" t="s">
        <v>1905</v>
      </c>
      <c r="E277" s="181"/>
      <c r="F277" s="180"/>
      <c r="G277" s="92">
        <v>0</v>
      </c>
      <c r="H277" s="73"/>
      <c r="I277" s="19"/>
    </row>
    <row r="278" spans="1:9" ht="12.2" customHeight="1">
      <c r="A278" s="47"/>
      <c r="B278" s="55"/>
      <c r="C278" s="55"/>
      <c r="D278" s="180" t="s">
        <v>1906</v>
      </c>
      <c r="E278" s="181"/>
      <c r="F278" s="180"/>
      <c r="G278" s="92">
        <v>0</v>
      </c>
      <c r="H278" s="73"/>
      <c r="I278" s="19"/>
    </row>
    <row r="279" spans="1:9" ht="12.2" customHeight="1">
      <c r="A279" s="47"/>
      <c r="B279" s="55"/>
      <c r="C279" s="55"/>
      <c r="D279" s="180" t="s">
        <v>1907</v>
      </c>
      <c r="E279" s="181"/>
      <c r="F279" s="180"/>
      <c r="G279" s="92">
        <v>0</v>
      </c>
      <c r="H279" s="73"/>
      <c r="I279" s="19"/>
    </row>
    <row r="280" spans="1:9" ht="12.2" customHeight="1">
      <c r="A280" s="47"/>
      <c r="B280" s="55"/>
      <c r="C280" s="55"/>
      <c r="D280" s="180" t="s">
        <v>1908</v>
      </c>
      <c r="E280" s="181"/>
      <c r="F280" s="180"/>
      <c r="G280" s="92">
        <v>0</v>
      </c>
      <c r="H280" s="73"/>
      <c r="I280" s="19"/>
    </row>
    <row r="281" spans="1:9" ht="12.2" customHeight="1">
      <c r="A281" s="47"/>
      <c r="B281" s="55"/>
      <c r="C281" s="55"/>
      <c r="D281" s="180" t="s">
        <v>1909</v>
      </c>
      <c r="E281" s="181"/>
      <c r="F281" s="180"/>
      <c r="G281" s="92">
        <v>0</v>
      </c>
      <c r="H281" s="73"/>
      <c r="I281" s="19"/>
    </row>
    <row r="282" spans="1:9" ht="12.2" customHeight="1">
      <c r="A282" s="47"/>
      <c r="B282" s="55"/>
      <c r="C282" s="55"/>
      <c r="D282" s="180" t="s">
        <v>1910</v>
      </c>
      <c r="E282" s="181"/>
      <c r="F282" s="180"/>
      <c r="G282" s="92">
        <v>0</v>
      </c>
      <c r="H282" s="73"/>
      <c r="I282" s="19"/>
    </row>
    <row r="283" spans="1:9" ht="12.2" customHeight="1">
      <c r="A283" s="47"/>
      <c r="B283" s="55"/>
      <c r="C283" s="55"/>
      <c r="D283" s="180" t="s">
        <v>1911</v>
      </c>
      <c r="E283" s="181"/>
      <c r="F283" s="180"/>
      <c r="G283" s="92">
        <v>0</v>
      </c>
      <c r="H283" s="73"/>
      <c r="I283" s="19"/>
    </row>
    <row r="284" spans="1:9" ht="12.2" customHeight="1">
      <c r="A284" s="47"/>
      <c r="B284" s="55"/>
      <c r="C284" s="55"/>
      <c r="D284" s="180" t="s">
        <v>1912</v>
      </c>
      <c r="E284" s="181"/>
      <c r="F284" s="180"/>
      <c r="G284" s="92">
        <v>0</v>
      </c>
      <c r="H284" s="73"/>
      <c r="I284" s="19"/>
    </row>
    <row r="285" spans="1:9" ht="12.2" customHeight="1">
      <c r="A285" s="47"/>
      <c r="B285" s="55"/>
      <c r="C285" s="55"/>
      <c r="D285" s="180" t="s">
        <v>1913</v>
      </c>
      <c r="E285" s="181"/>
      <c r="F285" s="180"/>
      <c r="G285" s="92">
        <v>0</v>
      </c>
      <c r="H285" s="73"/>
      <c r="I285" s="19"/>
    </row>
    <row r="286" spans="1:9" ht="12.2" customHeight="1">
      <c r="A286" s="47"/>
      <c r="B286" s="55"/>
      <c r="C286" s="55"/>
      <c r="D286" s="180" t="s">
        <v>1914</v>
      </c>
      <c r="E286" s="181"/>
      <c r="F286" s="180"/>
      <c r="G286" s="92">
        <v>0</v>
      </c>
      <c r="H286" s="73"/>
      <c r="I286" s="19"/>
    </row>
    <row r="287" spans="1:9" ht="12.2" customHeight="1">
      <c r="A287" s="47"/>
      <c r="B287" s="55"/>
      <c r="C287" s="55"/>
      <c r="D287" s="180" t="s">
        <v>1915</v>
      </c>
      <c r="E287" s="181"/>
      <c r="F287" s="180"/>
      <c r="G287" s="92">
        <v>0</v>
      </c>
      <c r="H287" s="73"/>
      <c r="I287" s="19"/>
    </row>
    <row r="288" spans="1:9">
      <c r="A288" s="47" t="s">
        <v>317</v>
      </c>
      <c r="B288" s="55" t="s">
        <v>59</v>
      </c>
      <c r="C288" s="55" t="s">
        <v>746</v>
      </c>
      <c r="D288" s="165" t="s">
        <v>1145</v>
      </c>
      <c r="E288" s="166"/>
      <c r="F288" s="55" t="s">
        <v>1632</v>
      </c>
      <c r="G288" s="64">
        <v>48.25</v>
      </c>
      <c r="H288" s="96">
        <v>0</v>
      </c>
      <c r="I288" s="19"/>
    </row>
    <row r="289" spans="1:9" ht="12.2" customHeight="1">
      <c r="A289" s="19"/>
      <c r="D289" s="180" t="s">
        <v>1916</v>
      </c>
      <c r="E289" s="181"/>
      <c r="F289" s="181"/>
      <c r="G289" s="92">
        <v>0</v>
      </c>
      <c r="H289" s="16"/>
      <c r="I289" s="19"/>
    </row>
    <row r="290" spans="1:9" ht="12.2" customHeight="1">
      <c r="A290" s="47"/>
      <c r="B290" s="55"/>
      <c r="C290" s="55"/>
      <c r="D290" s="180" t="s">
        <v>1917</v>
      </c>
      <c r="E290" s="181"/>
      <c r="F290" s="180"/>
      <c r="G290" s="92">
        <v>0</v>
      </c>
      <c r="H290" s="73"/>
      <c r="I290" s="19"/>
    </row>
    <row r="291" spans="1:9" ht="12.2" customHeight="1">
      <c r="A291" s="47"/>
      <c r="B291" s="55"/>
      <c r="C291" s="55"/>
      <c r="D291" s="180" t="s">
        <v>1918</v>
      </c>
      <c r="E291" s="181"/>
      <c r="F291" s="180"/>
      <c r="G291" s="92">
        <v>0</v>
      </c>
      <c r="H291" s="73"/>
      <c r="I291" s="19"/>
    </row>
    <row r="292" spans="1:9" ht="12.2" customHeight="1">
      <c r="A292" s="47"/>
      <c r="B292" s="55"/>
      <c r="C292" s="55"/>
      <c r="D292" s="180" t="s">
        <v>1919</v>
      </c>
      <c r="E292" s="181"/>
      <c r="F292" s="180"/>
      <c r="G292" s="92">
        <v>0</v>
      </c>
      <c r="H292" s="73"/>
      <c r="I292" s="19"/>
    </row>
    <row r="293" spans="1:9" ht="12.2" customHeight="1">
      <c r="A293" s="47"/>
      <c r="B293" s="55"/>
      <c r="C293" s="55"/>
      <c r="D293" s="180" t="s">
        <v>1920</v>
      </c>
      <c r="E293" s="181"/>
      <c r="F293" s="180"/>
      <c r="G293" s="92">
        <v>0</v>
      </c>
      <c r="H293" s="73"/>
      <c r="I293" s="19"/>
    </row>
    <row r="294" spans="1:9" ht="12.2" customHeight="1">
      <c r="A294" s="47"/>
      <c r="B294" s="55"/>
      <c r="C294" s="55"/>
      <c r="D294" s="180" t="s">
        <v>1921</v>
      </c>
      <c r="E294" s="181"/>
      <c r="F294" s="180"/>
      <c r="G294" s="92">
        <v>0</v>
      </c>
      <c r="H294" s="73"/>
      <c r="I294" s="19"/>
    </row>
    <row r="295" spans="1:9" ht="12.2" customHeight="1">
      <c r="A295" s="47"/>
      <c r="B295" s="55"/>
      <c r="C295" s="55"/>
      <c r="D295" s="180" t="s">
        <v>1922</v>
      </c>
      <c r="E295" s="181"/>
      <c r="F295" s="180"/>
      <c r="G295" s="92">
        <v>0</v>
      </c>
      <c r="H295" s="73"/>
      <c r="I295" s="19"/>
    </row>
    <row r="296" spans="1:9" ht="12.2" customHeight="1">
      <c r="A296" s="47"/>
      <c r="B296" s="55"/>
      <c r="C296" s="55"/>
      <c r="D296" s="180" t="s">
        <v>1923</v>
      </c>
      <c r="E296" s="181"/>
      <c r="F296" s="180"/>
      <c r="G296" s="92">
        <v>0</v>
      </c>
      <c r="H296" s="73"/>
      <c r="I296" s="19"/>
    </row>
    <row r="297" spans="1:9" ht="12.2" customHeight="1">
      <c r="A297" s="47"/>
      <c r="B297" s="55"/>
      <c r="C297" s="55"/>
      <c r="D297" s="180" t="s">
        <v>1924</v>
      </c>
      <c r="E297" s="181"/>
      <c r="F297" s="180"/>
      <c r="G297" s="92">
        <v>0</v>
      </c>
      <c r="H297" s="73"/>
      <c r="I297" s="19"/>
    </row>
    <row r="298" spans="1:9" ht="12.2" customHeight="1">
      <c r="A298" s="47"/>
      <c r="B298" s="55"/>
      <c r="C298" s="55"/>
      <c r="D298" s="180" t="s">
        <v>1925</v>
      </c>
      <c r="E298" s="181"/>
      <c r="F298" s="180"/>
      <c r="G298" s="92">
        <v>0</v>
      </c>
      <c r="H298" s="73"/>
      <c r="I298" s="19"/>
    </row>
    <row r="299" spans="1:9" ht="12.2" customHeight="1">
      <c r="A299" s="47"/>
      <c r="B299" s="55"/>
      <c r="C299" s="55"/>
      <c r="D299" s="180" t="s">
        <v>1926</v>
      </c>
      <c r="E299" s="181"/>
      <c r="F299" s="180"/>
      <c r="G299" s="92">
        <v>0</v>
      </c>
      <c r="H299" s="73"/>
      <c r="I299" s="19"/>
    </row>
    <row r="300" spans="1:9" ht="12.2" customHeight="1">
      <c r="A300" s="47"/>
      <c r="B300" s="55"/>
      <c r="C300" s="55"/>
      <c r="D300" s="180" t="s">
        <v>1927</v>
      </c>
      <c r="E300" s="181"/>
      <c r="F300" s="180"/>
      <c r="G300" s="92">
        <v>0</v>
      </c>
      <c r="H300" s="73"/>
      <c r="I300" s="19"/>
    </row>
    <row r="301" spans="1:9" ht="12.2" customHeight="1">
      <c r="A301" s="47"/>
      <c r="B301" s="55"/>
      <c r="C301" s="55"/>
      <c r="D301" s="180" t="s">
        <v>1928</v>
      </c>
      <c r="E301" s="181"/>
      <c r="F301" s="180"/>
      <c r="G301" s="92">
        <v>0</v>
      </c>
      <c r="H301" s="73"/>
      <c r="I301" s="19"/>
    </row>
    <row r="302" spans="1:9">
      <c r="A302" s="48" t="s">
        <v>318</v>
      </c>
      <c r="B302" s="56" t="s">
        <v>59</v>
      </c>
      <c r="C302" s="56" t="s">
        <v>747</v>
      </c>
      <c r="D302" s="170" t="s">
        <v>1146</v>
      </c>
      <c r="E302" s="171"/>
      <c r="F302" s="56" t="s">
        <v>1633</v>
      </c>
      <c r="G302" s="65">
        <v>62.865000000000002</v>
      </c>
      <c r="H302" s="97">
        <v>0</v>
      </c>
      <c r="I302" s="19"/>
    </row>
    <row r="303" spans="1:9" ht="12.2" customHeight="1">
      <c r="A303" s="19"/>
      <c r="D303" s="182" t="s">
        <v>1929</v>
      </c>
      <c r="E303" s="183"/>
      <c r="F303" s="183"/>
      <c r="G303" s="93">
        <v>0</v>
      </c>
      <c r="H303" s="16"/>
      <c r="I303" s="19"/>
    </row>
    <row r="304" spans="1:9" ht="12.2" customHeight="1">
      <c r="A304" s="48"/>
      <c r="B304" s="56"/>
      <c r="C304" s="56"/>
      <c r="D304" s="182" t="s">
        <v>1930</v>
      </c>
      <c r="E304" s="183"/>
      <c r="F304" s="182"/>
      <c r="G304" s="93">
        <v>0</v>
      </c>
      <c r="H304" s="74"/>
      <c r="I304" s="19"/>
    </row>
    <row r="305" spans="1:9" ht="12.2" customHeight="1">
      <c r="A305" s="48"/>
      <c r="B305" s="56"/>
      <c r="C305" s="56"/>
      <c r="D305" s="182" t="s">
        <v>1931</v>
      </c>
      <c r="E305" s="183"/>
      <c r="F305" s="182"/>
      <c r="G305" s="93">
        <v>0</v>
      </c>
      <c r="H305" s="74"/>
      <c r="I305" s="19"/>
    </row>
    <row r="306" spans="1:9" ht="12.2" customHeight="1">
      <c r="A306" s="48"/>
      <c r="B306" s="56"/>
      <c r="C306" s="56"/>
      <c r="D306" s="182" t="s">
        <v>1932</v>
      </c>
      <c r="E306" s="183"/>
      <c r="F306" s="182"/>
      <c r="G306" s="93">
        <v>0</v>
      </c>
      <c r="H306" s="74"/>
      <c r="I306" s="19"/>
    </row>
    <row r="307" spans="1:9" ht="12.2" customHeight="1">
      <c r="A307" s="48"/>
      <c r="B307" s="56"/>
      <c r="C307" s="56"/>
      <c r="D307" s="182" t="s">
        <v>1933</v>
      </c>
      <c r="E307" s="183"/>
      <c r="F307" s="182"/>
      <c r="G307" s="93">
        <v>0</v>
      </c>
      <c r="H307" s="74"/>
      <c r="I307" s="19"/>
    </row>
    <row r="308" spans="1:9" ht="12.2" customHeight="1">
      <c r="A308" s="48"/>
      <c r="B308" s="56"/>
      <c r="C308" s="56"/>
      <c r="D308" s="182" t="s">
        <v>1934</v>
      </c>
      <c r="E308" s="183"/>
      <c r="F308" s="182"/>
      <c r="G308" s="93">
        <v>0</v>
      </c>
      <c r="H308" s="74"/>
      <c r="I308" s="19"/>
    </row>
    <row r="309" spans="1:9" ht="12.2" customHeight="1">
      <c r="A309" s="48"/>
      <c r="B309" s="56"/>
      <c r="C309" s="56"/>
      <c r="D309" s="182" t="s">
        <v>1935</v>
      </c>
      <c r="E309" s="183"/>
      <c r="F309" s="182"/>
      <c r="G309" s="93">
        <v>0</v>
      </c>
      <c r="H309" s="74"/>
      <c r="I309" s="19"/>
    </row>
    <row r="310" spans="1:9" ht="12.2" customHeight="1">
      <c r="A310" s="48"/>
      <c r="B310" s="56"/>
      <c r="C310" s="56"/>
      <c r="D310" s="182" t="s">
        <v>1936</v>
      </c>
      <c r="E310" s="183"/>
      <c r="F310" s="182"/>
      <c r="G310" s="93">
        <v>0</v>
      </c>
      <c r="H310" s="74"/>
      <c r="I310" s="19"/>
    </row>
    <row r="311" spans="1:9" ht="12.2" customHeight="1">
      <c r="A311" s="48"/>
      <c r="B311" s="56"/>
      <c r="C311" s="56"/>
      <c r="D311" s="182" t="s">
        <v>1937</v>
      </c>
      <c r="E311" s="183"/>
      <c r="F311" s="182"/>
      <c r="G311" s="93">
        <v>0</v>
      </c>
      <c r="H311" s="74"/>
      <c r="I311" s="19"/>
    </row>
    <row r="312" spans="1:9" ht="12.2" customHeight="1">
      <c r="A312" s="48"/>
      <c r="B312" s="56"/>
      <c r="C312" s="56"/>
      <c r="D312" s="182" t="s">
        <v>1938</v>
      </c>
      <c r="E312" s="183"/>
      <c r="F312" s="182"/>
      <c r="G312" s="93">
        <v>0</v>
      </c>
      <c r="H312" s="74"/>
      <c r="I312" s="19"/>
    </row>
    <row r="313" spans="1:9" ht="12.2" customHeight="1">
      <c r="A313" s="48"/>
      <c r="B313" s="56"/>
      <c r="C313" s="56"/>
      <c r="D313" s="182" t="s">
        <v>1939</v>
      </c>
      <c r="E313" s="183"/>
      <c r="F313" s="182"/>
      <c r="G313" s="93">
        <v>0</v>
      </c>
      <c r="H313" s="74"/>
      <c r="I313" s="19"/>
    </row>
    <row r="314" spans="1:9" ht="12.2" customHeight="1">
      <c r="A314" s="48"/>
      <c r="B314" s="56"/>
      <c r="C314" s="56"/>
      <c r="D314" s="182" t="s">
        <v>1940</v>
      </c>
      <c r="E314" s="183"/>
      <c r="F314" s="182"/>
      <c r="G314" s="93">
        <v>0</v>
      </c>
      <c r="H314" s="74"/>
      <c r="I314" s="19"/>
    </row>
    <row r="315" spans="1:9" ht="12.2" customHeight="1">
      <c r="A315" s="48"/>
      <c r="B315" s="56"/>
      <c r="C315" s="56"/>
      <c r="D315" s="182" t="s">
        <v>1941</v>
      </c>
      <c r="E315" s="183"/>
      <c r="F315" s="182"/>
      <c r="G315" s="93">
        <v>0</v>
      </c>
      <c r="H315" s="74"/>
      <c r="I315" s="19"/>
    </row>
    <row r="316" spans="1:9" ht="12.2" customHeight="1">
      <c r="A316" s="48"/>
      <c r="B316" s="56"/>
      <c r="C316" s="56"/>
      <c r="D316" s="182" t="s">
        <v>1942</v>
      </c>
      <c r="E316" s="183"/>
      <c r="F316" s="182"/>
      <c r="G316" s="93">
        <v>0</v>
      </c>
      <c r="H316" s="74"/>
      <c r="I316" s="19"/>
    </row>
    <row r="317" spans="1:9">
      <c r="A317" s="47" t="s">
        <v>319</v>
      </c>
      <c r="B317" s="55" t="s">
        <v>59</v>
      </c>
      <c r="C317" s="55" t="s">
        <v>748</v>
      </c>
      <c r="D317" s="165" t="s">
        <v>1147</v>
      </c>
      <c r="E317" s="166"/>
      <c r="F317" s="55" t="s">
        <v>1632</v>
      </c>
      <c r="G317" s="64">
        <v>18.54</v>
      </c>
      <c r="H317" s="96">
        <v>0</v>
      </c>
      <c r="I317" s="19"/>
    </row>
    <row r="318" spans="1:9" ht="12.2" customHeight="1">
      <c r="A318" s="19"/>
      <c r="D318" s="180" t="s">
        <v>1943</v>
      </c>
      <c r="E318" s="181"/>
      <c r="F318" s="181"/>
      <c r="G318" s="92">
        <v>0</v>
      </c>
      <c r="H318" s="16"/>
      <c r="I318" s="19"/>
    </row>
    <row r="319" spans="1:9" ht="12.2" customHeight="1">
      <c r="A319" s="47"/>
      <c r="B319" s="55"/>
      <c r="C319" s="55"/>
      <c r="D319" s="180" t="s">
        <v>1944</v>
      </c>
      <c r="E319" s="181"/>
      <c r="F319" s="180"/>
      <c r="G319" s="92">
        <v>0</v>
      </c>
      <c r="H319" s="73"/>
      <c r="I319" s="19"/>
    </row>
    <row r="320" spans="1:9" ht="12.2" customHeight="1">
      <c r="A320" s="47"/>
      <c r="B320" s="55"/>
      <c r="C320" s="55"/>
      <c r="D320" s="180" t="s">
        <v>1945</v>
      </c>
      <c r="E320" s="181"/>
      <c r="F320" s="180"/>
      <c r="G320" s="92">
        <v>0</v>
      </c>
      <c r="H320" s="73"/>
      <c r="I320" s="19"/>
    </row>
    <row r="321" spans="1:9" ht="12.2" customHeight="1">
      <c r="A321" s="47"/>
      <c r="B321" s="55"/>
      <c r="C321" s="55"/>
      <c r="D321" s="180" t="s">
        <v>1946</v>
      </c>
      <c r="E321" s="181"/>
      <c r="F321" s="180"/>
      <c r="G321" s="92">
        <v>0</v>
      </c>
      <c r="H321" s="73"/>
      <c r="I321" s="19"/>
    </row>
    <row r="322" spans="1:9">
      <c r="A322" s="47" t="s">
        <v>320</v>
      </c>
      <c r="B322" s="55" t="s">
        <v>59</v>
      </c>
      <c r="C322" s="55" t="s">
        <v>749</v>
      </c>
      <c r="D322" s="165" t="s">
        <v>1148</v>
      </c>
      <c r="E322" s="166"/>
      <c r="F322" s="55" t="s">
        <v>1632</v>
      </c>
      <c r="G322" s="64">
        <v>55.29</v>
      </c>
      <c r="H322" s="96">
        <v>0</v>
      </c>
      <c r="I322" s="19"/>
    </row>
    <row r="323" spans="1:9" ht="12.2" customHeight="1">
      <c r="A323" s="19"/>
      <c r="D323" s="180" t="s">
        <v>1947</v>
      </c>
      <c r="E323" s="181"/>
      <c r="F323" s="181"/>
      <c r="G323" s="92">
        <v>0</v>
      </c>
      <c r="H323" s="16"/>
      <c r="I323" s="19"/>
    </row>
    <row r="324" spans="1:9" ht="12.2" customHeight="1">
      <c r="A324" s="47"/>
      <c r="B324" s="55"/>
      <c r="C324" s="55"/>
      <c r="D324" s="180" t="s">
        <v>1948</v>
      </c>
      <c r="E324" s="181"/>
      <c r="F324" s="180"/>
      <c r="G324" s="92">
        <v>0</v>
      </c>
      <c r="H324" s="73"/>
      <c r="I324" s="19"/>
    </row>
    <row r="325" spans="1:9" ht="12.2" customHeight="1">
      <c r="A325" s="47"/>
      <c r="B325" s="55"/>
      <c r="C325" s="55"/>
      <c r="D325" s="180" t="s">
        <v>1949</v>
      </c>
      <c r="E325" s="181"/>
      <c r="F325" s="180"/>
      <c r="G325" s="92">
        <v>0</v>
      </c>
      <c r="H325" s="73"/>
      <c r="I325" s="19"/>
    </row>
    <row r="326" spans="1:9" ht="12.2" customHeight="1">
      <c r="A326" s="47"/>
      <c r="B326" s="55"/>
      <c r="C326" s="55"/>
      <c r="D326" s="180" t="s">
        <v>1950</v>
      </c>
      <c r="E326" s="181"/>
      <c r="F326" s="180"/>
      <c r="G326" s="92">
        <v>0</v>
      </c>
      <c r="H326" s="73"/>
      <c r="I326" s="19"/>
    </row>
    <row r="327" spans="1:9" ht="12.2" customHeight="1">
      <c r="A327" s="47" t="s">
        <v>321</v>
      </c>
      <c r="B327" s="55" t="s">
        <v>59</v>
      </c>
      <c r="C327" s="55" t="s">
        <v>750</v>
      </c>
      <c r="D327" s="180" t="s">
        <v>1951</v>
      </c>
      <c r="E327" s="181"/>
      <c r="F327" s="180"/>
      <c r="G327" s="92">
        <v>0</v>
      </c>
      <c r="H327" s="96">
        <v>0</v>
      </c>
      <c r="I327" s="19"/>
    </row>
    <row r="328" spans="1:9">
      <c r="A328" s="47" t="s">
        <v>322</v>
      </c>
      <c r="B328" s="55" t="s">
        <v>61</v>
      </c>
      <c r="C328" s="55" t="s">
        <v>837</v>
      </c>
      <c r="D328" s="165" t="s">
        <v>1243</v>
      </c>
      <c r="E328" s="166"/>
      <c r="F328" s="55" t="s">
        <v>1633</v>
      </c>
      <c r="G328" s="64">
        <v>42</v>
      </c>
      <c r="H328" s="96">
        <v>0</v>
      </c>
      <c r="I328" s="19"/>
    </row>
    <row r="329" spans="1:9" ht="12.2" customHeight="1">
      <c r="A329" s="19"/>
      <c r="D329" s="180" t="s">
        <v>1952</v>
      </c>
      <c r="E329" s="181"/>
      <c r="F329" s="181"/>
      <c r="G329" s="92">
        <v>0</v>
      </c>
      <c r="H329" s="16"/>
      <c r="I329" s="19"/>
    </row>
    <row r="330" spans="1:9" ht="12.2" customHeight="1">
      <c r="A330" s="47"/>
      <c r="B330" s="55"/>
      <c r="C330" s="55"/>
      <c r="D330" s="180" t="s">
        <v>1953</v>
      </c>
      <c r="E330" s="181"/>
      <c r="F330" s="180"/>
      <c r="G330" s="92">
        <v>0</v>
      </c>
      <c r="H330" s="73"/>
      <c r="I330" s="19"/>
    </row>
    <row r="331" spans="1:9" ht="12.2" customHeight="1">
      <c r="A331" s="47"/>
      <c r="B331" s="55"/>
      <c r="C331" s="55"/>
      <c r="D331" s="180" t="s">
        <v>1954</v>
      </c>
      <c r="E331" s="181"/>
      <c r="F331" s="180"/>
      <c r="G331" s="92">
        <v>0</v>
      </c>
      <c r="H331" s="73"/>
      <c r="I331" s="19"/>
    </row>
    <row r="332" spans="1:9" ht="12.2" customHeight="1">
      <c r="A332" s="47"/>
      <c r="B332" s="55"/>
      <c r="C332" s="55"/>
      <c r="D332" s="180" t="s">
        <v>1955</v>
      </c>
      <c r="E332" s="181"/>
      <c r="F332" s="180"/>
      <c r="G332" s="92">
        <v>0</v>
      </c>
      <c r="H332" s="73"/>
      <c r="I332" s="19"/>
    </row>
    <row r="333" spans="1:9" ht="12.2" customHeight="1">
      <c r="A333" s="47"/>
      <c r="B333" s="55"/>
      <c r="C333" s="55"/>
      <c r="D333" s="180" t="s">
        <v>1956</v>
      </c>
      <c r="E333" s="181"/>
      <c r="F333" s="180"/>
      <c r="G333" s="92">
        <v>0</v>
      </c>
      <c r="H333" s="73"/>
      <c r="I333" s="19"/>
    </row>
    <row r="334" spans="1:9" ht="12.2" customHeight="1">
      <c r="A334" s="47"/>
      <c r="B334" s="55"/>
      <c r="C334" s="55"/>
      <c r="D334" s="180" t="s">
        <v>1957</v>
      </c>
      <c r="E334" s="181"/>
      <c r="F334" s="180"/>
      <c r="G334" s="92">
        <v>0</v>
      </c>
      <c r="H334" s="73"/>
      <c r="I334" s="19"/>
    </row>
    <row r="335" spans="1:9" ht="12.2" customHeight="1">
      <c r="A335" s="47"/>
      <c r="B335" s="55"/>
      <c r="C335" s="55"/>
      <c r="D335" s="180" t="s">
        <v>1958</v>
      </c>
      <c r="E335" s="181"/>
      <c r="F335" s="180"/>
      <c r="G335" s="92">
        <v>0</v>
      </c>
      <c r="H335" s="73"/>
      <c r="I335" s="19"/>
    </row>
    <row r="336" spans="1:9" ht="12.2" customHeight="1">
      <c r="A336" s="47"/>
      <c r="B336" s="55"/>
      <c r="C336" s="55"/>
      <c r="D336" s="180" t="s">
        <v>1959</v>
      </c>
      <c r="E336" s="181"/>
      <c r="F336" s="180"/>
      <c r="G336" s="92">
        <v>0</v>
      </c>
      <c r="H336" s="73"/>
      <c r="I336" s="19"/>
    </row>
    <row r="337" spans="1:9" ht="12.2" customHeight="1">
      <c r="A337" s="47"/>
      <c r="B337" s="55"/>
      <c r="C337" s="55"/>
      <c r="D337" s="180" t="s">
        <v>1960</v>
      </c>
      <c r="E337" s="181"/>
      <c r="F337" s="180"/>
      <c r="G337" s="92">
        <v>0</v>
      </c>
      <c r="H337" s="73"/>
      <c r="I337" s="19"/>
    </row>
    <row r="338" spans="1:9" ht="12.2" customHeight="1">
      <c r="A338" s="47"/>
      <c r="B338" s="55"/>
      <c r="C338" s="55"/>
      <c r="D338" s="180" t="s">
        <v>1961</v>
      </c>
      <c r="E338" s="181"/>
      <c r="F338" s="180"/>
      <c r="G338" s="92">
        <v>0</v>
      </c>
      <c r="H338" s="73"/>
      <c r="I338" s="19"/>
    </row>
    <row r="339" spans="1:9" ht="12.2" customHeight="1">
      <c r="A339" s="47"/>
      <c r="B339" s="55"/>
      <c r="C339" s="55"/>
      <c r="D339" s="180" t="s">
        <v>1962</v>
      </c>
      <c r="E339" s="181"/>
      <c r="F339" s="180"/>
      <c r="G339" s="92">
        <v>0</v>
      </c>
      <c r="H339" s="73"/>
      <c r="I339" s="19"/>
    </row>
    <row r="340" spans="1:9">
      <c r="A340" s="47" t="s">
        <v>323</v>
      </c>
      <c r="B340" s="55" t="s">
        <v>71</v>
      </c>
      <c r="C340" s="55" t="s">
        <v>1027</v>
      </c>
      <c r="D340" s="165" t="s">
        <v>1528</v>
      </c>
      <c r="E340" s="166"/>
      <c r="F340" s="55" t="s">
        <v>1632</v>
      </c>
      <c r="G340" s="64">
        <v>4.7</v>
      </c>
      <c r="H340" s="96">
        <v>0</v>
      </c>
      <c r="I340" s="19"/>
    </row>
    <row r="341" spans="1:9" ht="12.2" customHeight="1">
      <c r="A341" s="19"/>
      <c r="D341" s="180" t="s">
        <v>1963</v>
      </c>
      <c r="E341" s="181"/>
      <c r="F341" s="181"/>
      <c r="G341" s="92">
        <v>0</v>
      </c>
      <c r="H341" s="16"/>
      <c r="I341" s="19"/>
    </row>
    <row r="342" spans="1:9" ht="12.2" customHeight="1">
      <c r="A342" s="47"/>
      <c r="B342" s="55"/>
      <c r="C342" s="55"/>
      <c r="D342" s="180" t="s">
        <v>1964</v>
      </c>
      <c r="E342" s="181"/>
      <c r="F342" s="180"/>
      <c r="G342" s="92">
        <v>0</v>
      </c>
      <c r="H342" s="73"/>
      <c r="I342" s="19"/>
    </row>
    <row r="343" spans="1:9" ht="12.2" customHeight="1">
      <c r="A343" s="47"/>
      <c r="B343" s="55"/>
      <c r="C343" s="55"/>
      <c r="D343" s="180" t="s">
        <v>1965</v>
      </c>
      <c r="E343" s="181"/>
      <c r="F343" s="180"/>
      <c r="G343" s="92">
        <v>0</v>
      </c>
      <c r="H343" s="73"/>
      <c r="I343" s="19"/>
    </row>
    <row r="344" spans="1:9">
      <c r="A344" s="47" t="s">
        <v>324</v>
      </c>
      <c r="B344" s="55" t="s">
        <v>71</v>
      </c>
      <c r="C344" s="55" t="s">
        <v>1027</v>
      </c>
      <c r="D344" s="165" t="s">
        <v>1530</v>
      </c>
      <c r="E344" s="166"/>
      <c r="F344" s="55" t="s">
        <v>1632</v>
      </c>
      <c r="G344" s="64">
        <v>59.61</v>
      </c>
      <c r="H344" s="96">
        <v>0</v>
      </c>
      <c r="I344" s="19"/>
    </row>
    <row r="345" spans="1:9" ht="12.2" customHeight="1">
      <c r="A345" s="19"/>
      <c r="D345" s="180" t="s">
        <v>1966</v>
      </c>
      <c r="E345" s="181"/>
      <c r="F345" s="181"/>
      <c r="G345" s="92">
        <v>0</v>
      </c>
      <c r="H345" s="16"/>
      <c r="I345" s="19"/>
    </row>
    <row r="346" spans="1:9" ht="12.2" customHeight="1">
      <c r="A346" s="47"/>
      <c r="B346" s="55"/>
      <c r="C346" s="55"/>
      <c r="D346" s="180" t="s">
        <v>1967</v>
      </c>
      <c r="E346" s="181"/>
      <c r="F346" s="180"/>
      <c r="G346" s="92">
        <v>0</v>
      </c>
      <c r="H346" s="73"/>
      <c r="I346" s="19"/>
    </row>
    <row r="347" spans="1:9" ht="12.2" customHeight="1">
      <c r="A347" s="47"/>
      <c r="B347" s="55"/>
      <c r="C347" s="55"/>
      <c r="D347" s="180" t="s">
        <v>1968</v>
      </c>
      <c r="E347" s="181"/>
      <c r="F347" s="180"/>
      <c r="G347" s="92">
        <v>0</v>
      </c>
      <c r="H347" s="73"/>
      <c r="I347" s="19"/>
    </row>
    <row r="348" spans="1:9" ht="12.2" customHeight="1">
      <c r="A348" s="47" t="s">
        <v>325</v>
      </c>
      <c r="B348" s="55" t="s">
        <v>71</v>
      </c>
      <c r="C348" s="55" t="s">
        <v>1028</v>
      </c>
      <c r="D348" s="180" t="s">
        <v>1969</v>
      </c>
      <c r="E348" s="181"/>
      <c r="F348" s="180"/>
      <c r="G348" s="92">
        <v>0</v>
      </c>
      <c r="H348" s="96">
        <v>0</v>
      </c>
      <c r="I348" s="19"/>
    </row>
    <row r="349" spans="1:9">
      <c r="A349" s="48" t="s">
        <v>326</v>
      </c>
      <c r="B349" s="56" t="s">
        <v>71</v>
      </c>
      <c r="C349" s="56" t="s">
        <v>1029</v>
      </c>
      <c r="D349" s="170" t="s">
        <v>1532</v>
      </c>
      <c r="E349" s="171"/>
      <c r="F349" s="56" t="s">
        <v>1632</v>
      </c>
      <c r="G349" s="65">
        <v>896.28</v>
      </c>
      <c r="H349" s="97">
        <v>0</v>
      </c>
      <c r="I349" s="19"/>
    </row>
    <row r="350" spans="1:9" ht="12.2" customHeight="1">
      <c r="A350" s="19"/>
      <c r="D350" s="182" t="s">
        <v>1970</v>
      </c>
      <c r="E350" s="183"/>
      <c r="F350" s="183"/>
      <c r="G350" s="93">
        <v>0</v>
      </c>
      <c r="H350" s="16"/>
      <c r="I350" s="19"/>
    </row>
    <row r="351" spans="1:9" ht="12.2" customHeight="1">
      <c r="A351" s="48"/>
      <c r="B351" s="56"/>
      <c r="C351" s="56"/>
      <c r="D351" s="182" t="s">
        <v>1971</v>
      </c>
      <c r="E351" s="183"/>
      <c r="F351" s="182"/>
      <c r="G351" s="93">
        <v>0</v>
      </c>
      <c r="H351" s="74"/>
      <c r="I351" s="19"/>
    </row>
    <row r="352" spans="1:9">
      <c r="A352" s="87"/>
      <c r="B352" s="54"/>
      <c r="C352" s="54" t="s">
        <v>135</v>
      </c>
      <c r="D352" s="163" t="s">
        <v>186</v>
      </c>
      <c r="E352" s="164"/>
      <c r="F352" s="54"/>
      <c r="G352" s="77"/>
      <c r="H352" s="72"/>
      <c r="I352" s="19"/>
    </row>
    <row r="353" spans="1:9" ht="12.2" customHeight="1">
      <c r="A353" s="47" t="s">
        <v>327</v>
      </c>
      <c r="B353" s="55" t="s">
        <v>59</v>
      </c>
      <c r="C353" s="55" t="s">
        <v>751</v>
      </c>
      <c r="D353" s="180" t="s">
        <v>1972</v>
      </c>
      <c r="E353" s="181"/>
      <c r="F353" s="180"/>
      <c r="G353" s="92">
        <v>0</v>
      </c>
      <c r="H353" s="96">
        <v>0</v>
      </c>
      <c r="I353" s="19"/>
    </row>
    <row r="354" spans="1:9" ht="12.2" customHeight="1">
      <c r="A354" s="47" t="s">
        <v>328</v>
      </c>
      <c r="B354" s="55" t="s">
        <v>59</v>
      </c>
      <c r="C354" s="55" t="s">
        <v>752</v>
      </c>
      <c r="D354" s="180" t="s">
        <v>1973</v>
      </c>
      <c r="E354" s="181"/>
      <c r="F354" s="180"/>
      <c r="G354" s="92">
        <v>0</v>
      </c>
      <c r="H354" s="96">
        <v>0</v>
      </c>
      <c r="I354" s="19"/>
    </row>
    <row r="355" spans="1:9" ht="12.2" customHeight="1">
      <c r="A355" s="47"/>
      <c r="B355" s="55"/>
      <c r="C355" s="55"/>
      <c r="D355" s="180" t="s">
        <v>1972</v>
      </c>
      <c r="E355" s="181"/>
      <c r="F355" s="180"/>
      <c r="G355" s="92">
        <v>0</v>
      </c>
      <c r="H355" s="73"/>
      <c r="I355" s="19"/>
    </row>
    <row r="356" spans="1:9">
      <c r="A356" s="47" t="s">
        <v>329</v>
      </c>
      <c r="B356" s="55" t="s">
        <v>59</v>
      </c>
      <c r="C356" s="55" t="s">
        <v>753</v>
      </c>
      <c r="D356" s="165" t="s">
        <v>1152</v>
      </c>
      <c r="E356" s="166"/>
      <c r="F356" s="55" t="s">
        <v>1633</v>
      </c>
      <c r="G356" s="64">
        <v>132.19999999999999</v>
      </c>
      <c r="H356" s="96">
        <v>0</v>
      </c>
      <c r="I356" s="19"/>
    </row>
    <row r="357" spans="1:9" ht="12.2" customHeight="1">
      <c r="A357" s="19"/>
      <c r="D357" s="180" t="s">
        <v>1974</v>
      </c>
      <c r="E357" s="181"/>
      <c r="F357" s="181"/>
      <c r="G357" s="92">
        <v>0</v>
      </c>
      <c r="H357" s="16"/>
      <c r="I357" s="19"/>
    </row>
    <row r="358" spans="1:9" ht="12.2" customHeight="1">
      <c r="A358" s="47"/>
      <c r="B358" s="55"/>
      <c r="C358" s="55"/>
      <c r="D358" s="180" t="s">
        <v>1975</v>
      </c>
      <c r="E358" s="181"/>
      <c r="F358" s="180"/>
      <c r="G358" s="92">
        <v>0</v>
      </c>
      <c r="H358" s="73"/>
      <c r="I358" s="19"/>
    </row>
    <row r="359" spans="1:9" ht="12.2" customHeight="1">
      <c r="A359" s="47"/>
      <c r="B359" s="55"/>
      <c r="C359" s="55"/>
      <c r="D359" s="180" t="s">
        <v>1976</v>
      </c>
      <c r="E359" s="181"/>
      <c r="F359" s="180"/>
      <c r="G359" s="92">
        <v>0</v>
      </c>
      <c r="H359" s="73"/>
      <c r="I359" s="19"/>
    </row>
    <row r="360" spans="1:9" ht="12.2" customHeight="1">
      <c r="A360" s="47"/>
      <c r="B360" s="55"/>
      <c r="C360" s="55"/>
      <c r="D360" s="180" t="s">
        <v>1977</v>
      </c>
      <c r="E360" s="181"/>
      <c r="F360" s="180"/>
      <c r="G360" s="92">
        <v>0</v>
      </c>
      <c r="H360" s="73"/>
      <c r="I360" s="19"/>
    </row>
    <row r="361" spans="1:9" ht="12.2" customHeight="1">
      <c r="A361" s="47"/>
      <c r="B361" s="55"/>
      <c r="C361" s="55"/>
      <c r="D361" s="180" t="s">
        <v>1978</v>
      </c>
      <c r="E361" s="181"/>
      <c r="F361" s="180"/>
      <c r="G361" s="92">
        <v>0</v>
      </c>
      <c r="H361" s="73"/>
      <c r="I361" s="19"/>
    </row>
    <row r="362" spans="1:9" ht="12.2" customHeight="1">
      <c r="A362" s="47"/>
      <c r="B362" s="55"/>
      <c r="C362" s="55"/>
      <c r="D362" s="180" t="s">
        <v>1979</v>
      </c>
      <c r="E362" s="181"/>
      <c r="F362" s="180"/>
      <c r="G362" s="92">
        <v>0</v>
      </c>
      <c r="H362" s="73"/>
      <c r="I362" s="19"/>
    </row>
    <row r="363" spans="1:9" ht="12.2" customHeight="1">
      <c r="A363" s="47"/>
      <c r="B363" s="55"/>
      <c r="C363" s="55"/>
      <c r="D363" s="180" t="s">
        <v>1980</v>
      </c>
      <c r="E363" s="181"/>
      <c r="F363" s="180"/>
      <c r="G363" s="92">
        <v>0</v>
      </c>
      <c r="H363" s="73"/>
      <c r="I363" s="19"/>
    </row>
    <row r="364" spans="1:9" ht="12.2" customHeight="1">
      <c r="A364" s="47"/>
      <c r="B364" s="55"/>
      <c r="C364" s="55"/>
      <c r="D364" s="180" t="s">
        <v>1981</v>
      </c>
      <c r="E364" s="181"/>
      <c r="F364" s="180"/>
      <c r="G364" s="92">
        <v>0</v>
      </c>
      <c r="H364" s="73"/>
      <c r="I364" s="19"/>
    </row>
    <row r="365" spans="1:9" ht="12.2" customHeight="1">
      <c r="A365" s="47"/>
      <c r="B365" s="55"/>
      <c r="C365" s="55"/>
      <c r="D365" s="180" t="s">
        <v>1982</v>
      </c>
      <c r="E365" s="181"/>
      <c r="F365" s="180"/>
      <c r="G365" s="92">
        <v>0</v>
      </c>
      <c r="H365" s="73"/>
      <c r="I365" s="19"/>
    </row>
    <row r="366" spans="1:9" ht="12.2" customHeight="1">
      <c r="A366" s="47"/>
      <c r="B366" s="55"/>
      <c r="C366" s="55"/>
      <c r="D366" s="180" t="s">
        <v>1983</v>
      </c>
      <c r="E366" s="181"/>
      <c r="F366" s="180"/>
      <c r="G366" s="92">
        <v>0</v>
      </c>
      <c r="H366" s="73"/>
      <c r="I366" s="19"/>
    </row>
    <row r="367" spans="1:9" ht="12.2" customHeight="1">
      <c r="A367" s="47"/>
      <c r="B367" s="55"/>
      <c r="C367" s="55"/>
      <c r="D367" s="180" t="s">
        <v>1984</v>
      </c>
      <c r="E367" s="181"/>
      <c r="F367" s="180"/>
      <c r="G367" s="92">
        <v>0</v>
      </c>
      <c r="H367" s="73"/>
      <c r="I367" s="19"/>
    </row>
    <row r="368" spans="1:9" ht="12.2" customHeight="1">
      <c r="A368" s="47"/>
      <c r="B368" s="55"/>
      <c r="C368" s="55"/>
      <c r="D368" s="180" t="s">
        <v>1985</v>
      </c>
      <c r="E368" s="181"/>
      <c r="F368" s="180"/>
      <c r="G368" s="92">
        <v>0</v>
      </c>
      <c r="H368" s="73"/>
      <c r="I368" s="19"/>
    </row>
    <row r="369" spans="1:9" ht="12.2" customHeight="1">
      <c r="A369" s="47"/>
      <c r="B369" s="55"/>
      <c r="C369" s="55"/>
      <c r="D369" s="180" t="s">
        <v>1986</v>
      </c>
      <c r="E369" s="181"/>
      <c r="F369" s="180"/>
      <c r="G369" s="92">
        <v>0</v>
      </c>
      <c r="H369" s="73"/>
      <c r="I369" s="19"/>
    </row>
    <row r="370" spans="1:9" ht="12.2" customHeight="1">
      <c r="A370" s="47" t="s">
        <v>330</v>
      </c>
      <c r="B370" s="55" t="s">
        <v>59</v>
      </c>
      <c r="C370" s="55" t="s">
        <v>754</v>
      </c>
      <c r="D370" s="180" t="s">
        <v>1986</v>
      </c>
      <c r="E370" s="181"/>
      <c r="F370" s="180"/>
      <c r="G370" s="92">
        <v>0</v>
      </c>
      <c r="H370" s="96">
        <v>0</v>
      </c>
      <c r="I370" s="19"/>
    </row>
    <row r="371" spans="1:9">
      <c r="A371" s="47" t="s">
        <v>331</v>
      </c>
      <c r="B371" s="55" t="s">
        <v>59</v>
      </c>
      <c r="C371" s="55" t="s">
        <v>755</v>
      </c>
      <c r="D371" s="165" t="s">
        <v>1155</v>
      </c>
      <c r="E371" s="166"/>
      <c r="F371" s="55" t="s">
        <v>1633</v>
      </c>
      <c r="G371" s="64">
        <v>35.450000000000003</v>
      </c>
      <c r="H371" s="96">
        <v>0</v>
      </c>
      <c r="I371" s="19"/>
    </row>
    <row r="372" spans="1:9" ht="12.2" customHeight="1">
      <c r="A372" s="19"/>
      <c r="D372" s="180" t="s">
        <v>1979</v>
      </c>
      <c r="E372" s="181"/>
      <c r="F372" s="181"/>
      <c r="G372" s="92">
        <v>0</v>
      </c>
      <c r="H372" s="16"/>
      <c r="I372" s="19"/>
    </row>
    <row r="373" spans="1:9" ht="12.2" customHeight="1">
      <c r="A373" s="47"/>
      <c r="B373" s="55"/>
      <c r="C373" s="55"/>
      <c r="D373" s="180" t="s">
        <v>1980</v>
      </c>
      <c r="E373" s="181"/>
      <c r="F373" s="180"/>
      <c r="G373" s="92">
        <v>0</v>
      </c>
      <c r="H373" s="73"/>
      <c r="I373" s="19"/>
    </row>
    <row r="374" spans="1:9" ht="12.2" customHeight="1">
      <c r="A374" s="47"/>
      <c r="B374" s="55"/>
      <c r="C374" s="55"/>
      <c r="D374" s="180" t="s">
        <v>1981</v>
      </c>
      <c r="E374" s="181"/>
      <c r="F374" s="180"/>
      <c r="G374" s="92">
        <v>0</v>
      </c>
      <c r="H374" s="73"/>
      <c r="I374" s="19"/>
    </row>
    <row r="375" spans="1:9" ht="12.2" customHeight="1">
      <c r="A375" s="47"/>
      <c r="B375" s="55"/>
      <c r="C375" s="55"/>
      <c r="D375" s="180" t="s">
        <v>1982</v>
      </c>
      <c r="E375" s="181"/>
      <c r="F375" s="180"/>
      <c r="G375" s="92">
        <v>0</v>
      </c>
      <c r="H375" s="73"/>
      <c r="I375" s="19"/>
    </row>
    <row r="376" spans="1:9" ht="12.2" customHeight="1">
      <c r="A376" s="47"/>
      <c r="B376" s="55"/>
      <c r="C376" s="55"/>
      <c r="D376" s="180" t="s">
        <v>1983</v>
      </c>
      <c r="E376" s="181"/>
      <c r="F376" s="180"/>
      <c r="G376" s="92">
        <v>0</v>
      </c>
      <c r="H376" s="73"/>
      <c r="I376" s="19"/>
    </row>
    <row r="377" spans="1:9">
      <c r="A377" s="47" t="s">
        <v>332</v>
      </c>
      <c r="B377" s="55" t="s">
        <v>59</v>
      </c>
      <c r="C377" s="55" t="s">
        <v>756</v>
      </c>
      <c r="D377" s="165" t="s">
        <v>1156</v>
      </c>
      <c r="E377" s="166"/>
      <c r="F377" s="55" t="s">
        <v>1633</v>
      </c>
      <c r="G377" s="64">
        <v>99.05</v>
      </c>
      <c r="H377" s="96">
        <v>0</v>
      </c>
      <c r="I377" s="19"/>
    </row>
    <row r="378" spans="1:9" ht="12.2" customHeight="1">
      <c r="A378" s="19"/>
      <c r="D378" s="180" t="s">
        <v>1974</v>
      </c>
      <c r="E378" s="181"/>
      <c r="F378" s="181"/>
      <c r="G378" s="92">
        <v>0</v>
      </c>
      <c r="H378" s="16"/>
      <c r="I378" s="19"/>
    </row>
    <row r="379" spans="1:9" ht="12.2" customHeight="1">
      <c r="A379" s="47"/>
      <c r="B379" s="55"/>
      <c r="C379" s="55"/>
      <c r="D379" s="180" t="s">
        <v>1975</v>
      </c>
      <c r="E379" s="181"/>
      <c r="F379" s="180"/>
      <c r="G379" s="92">
        <v>0</v>
      </c>
      <c r="H379" s="73"/>
      <c r="I379" s="19"/>
    </row>
    <row r="380" spans="1:9" ht="12.2" customHeight="1">
      <c r="A380" s="47"/>
      <c r="B380" s="55"/>
      <c r="C380" s="55"/>
      <c r="D380" s="180" t="s">
        <v>1976</v>
      </c>
      <c r="E380" s="181"/>
      <c r="F380" s="180"/>
      <c r="G380" s="92">
        <v>0</v>
      </c>
      <c r="H380" s="73"/>
      <c r="I380" s="19"/>
    </row>
    <row r="381" spans="1:9" ht="12.2" customHeight="1">
      <c r="A381" s="47"/>
      <c r="B381" s="55"/>
      <c r="C381" s="55"/>
      <c r="D381" s="180" t="s">
        <v>1987</v>
      </c>
      <c r="E381" s="181"/>
      <c r="F381" s="180"/>
      <c r="G381" s="92">
        <v>0</v>
      </c>
      <c r="H381" s="73"/>
      <c r="I381" s="19"/>
    </row>
    <row r="382" spans="1:9" ht="12.2" customHeight="1">
      <c r="A382" s="47"/>
      <c r="B382" s="55"/>
      <c r="C382" s="55"/>
      <c r="D382" s="180" t="s">
        <v>1978</v>
      </c>
      <c r="E382" s="181"/>
      <c r="F382" s="180"/>
      <c r="G382" s="92">
        <v>0</v>
      </c>
      <c r="H382" s="73"/>
      <c r="I382" s="19"/>
    </row>
    <row r="383" spans="1:9" ht="12.2" customHeight="1">
      <c r="A383" s="47"/>
      <c r="B383" s="55"/>
      <c r="C383" s="55"/>
      <c r="D383" s="180" t="s">
        <v>1984</v>
      </c>
      <c r="E383" s="181"/>
      <c r="F383" s="180"/>
      <c r="G383" s="92">
        <v>0</v>
      </c>
      <c r="H383" s="73"/>
      <c r="I383" s="19"/>
    </row>
    <row r="384" spans="1:9" ht="12.2" customHeight="1">
      <c r="A384" s="47"/>
      <c r="B384" s="55"/>
      <c r="C384" s="55"/>
      <c r="D384" s="180" t="s">
        <v>1985</v>
      </c>
      <c r="E384" s="181"/>
      <c r="F384" s="180"/>
      <c r="G384" s="92">
        <v>0</v>
      </c>
      <c r="H384" s="73"/>
      <c r="I384" s="19"/>
    </row>
    <row r="385" spans="1:9">
      <c r="A385" s="47" t="s">
        <v>333</v>
      </c>
      <c r="B385" s="55" t="s">
        <v>59</v>
      </c>
      <c r="C385" s="55" t="s">
        <v>757</v>
      </c>
      <c r="D385" s="165" t="s">
        <v>1157</v>
      </c>
      <c r="E385" s="166"/>
      <c r="F385" s="55" t="s">
        <v>1634</v>
      </c>
      <c r="G385" s="64">
        <v>1.13141</v>
      </c>
      <c r="H385" s="96">
        <v>0</v>
      </c>
      <c r="I385" s="19"/>
    </row>
    <row r="386" spans="1:9">
      <c r="A386" s="47" t="s">
        <v>334</v>
      </c>
      <c r="B386" s="55" t="s">
        <v>60</v>
      </c>
      <c r="C386" s="55" t="s">
        <v>806</v>
      </c>
      <c r="D386" s="165" t="s">
        <v>1210</v>
      </c>
      <c r="E386" s="166"/>
      <c r="F386" s="55" t="s">
        <v>1633</v>
      </c>
      <c r="G386" s="64">
        <v>368.29</v>
      </c>
      <c r="H386" s="96">
        <v>0</v>
      </c>
      <c r="I386" s="19"/>
    </row>
    <row r="387" spans="1:9" ht="12.2" customHeight="1">
      <c r="A387" s="19"/>
      <c r="D387" s="180" t="s">
        <v>1988</v>
      </c>
      <c r="E387" s="181"/>
      <c r="F387" s="181"/>
      <c r="G387" s="92">
        <v>0</v>
      </c>
      <c r="H387" s="16"/>
      <c r="I387" s="19"/>
    </row>
    <row r="388" spans="1:9" ht="12.2" customHeight="1">
      <c r="A388" s="47"/>
      <c r="B388" s="55"/>
      <c r="C388" s="55"/>
      <c r="D388" s="180" t="s">
        <v>1989</v>
      </c>
      <c r="E388" s="181"/>
      <c r="F388" s="180"/>
      <c r="G388" s="92">
        <v>0</v>
      </c>
      <c r="H388" s="73"/>
      <c r="I388" s="19"/>
    </row>
    <row r="389" spans="1:9" ht="12.2" customHeight="1">
      <c r="A389" s="47"/>
      <c r="B389" s="55"/>
      <c r="C389" s="55"/>
      <c r="D389" s="180" t="s">
        <v>1990</v>
      </c>
      <c r="E389" s="181"/>
      <c r="F389" s="180"/>
      <c r="G389" s="92">
        <v>0</v>
      </c>
      <c r="H389" s="73"/>
      <c r="I389" s="19"/>
    </row>
    <row r="390" spans="1:9">
      <c r="A390" s="47" t="s">
        <v>335</v>
      </c>
      <c r="B390" s="55" t="s">
        <v>60</v>
      </c>
      <c r="C390" s="55" t="s">
        <v>807</v>
      </c>
      <c r="D390" s="165" t="s">
        <v>1211</v>
      </c>
      <c r="E390" s="166"/>
      <c r="F390" s="55" t="s">
        <v>1631</v>
      </c>
      <c r="G390" s="64">
        <v>435</v>
      </c>
      <c r="H390" s="96">
        <v>0</v>
      </c>
      <c r="I390" s="19"/>
    </row>
    <row r="391" spans="1:9" ht="12.2" customHeight="1">
      <c r="A391" s="19"/>
      <c r="D391" s="180" t="s">
        <v>1991</v>
      </c>
      <c r="E391" s="181"/>
      <c r="F391" s="181"/>
      <c r="G391" s="92">
        <v>0</v>
      </c>
      <c r="H391" s="16"/>
      <c r="I391" s="19"/>
    </row>
    <row r="392" spans="1:9" ht="12.2" customHeight="1">
      <c r="A392" s="47"/>
      <c r="B392" s="55"/>
      <c r="C392" s="55"/>
      <c r="D392" s="180" t="s">
        <v>1992</v>
      </c>
      <c r="E392" s="181"/>
      <c r="F392" s="180"/>
      <c r="G392" s="92">
        <v>0</v>
      </c>
      <c r="H392" s="73"/>
      <c r="I392" s="19"/>
    </row>
    <row r="393" spans="1:9" ht="12.2" customHeight="1">
      <c r="A393" s="47"/>
      <c r="B393" s="55"/>
      <c r="C393" s="55"/>
      <c r="D393" s="180" t="s">
        <v>1993</v>
      </c>
      <c r="E393" s="181"/>
      <c r="F393" s="180"/>
      <c r="G393" s="92">
        <v>0</v>
      </c>
      <c r="H393" s="73"/>
      <c r="I393" s="19"/>
    </row>
    <row r="394" spans="1:9">
      <c r="A394" s="47" t="s">
        <v>336</v>
      </c>
      <c r="B394" s="55" t="s">
        <v>60</v>
      </c>
      <c r="C394" s="55" t="s">
        <v>808</v>
      </c>
      <c r="D394" s="165" t="s">
        <v>1212</v>
      </c>
      <c r="E394" s="166"/>
      <c r="F394" s="55" t="s">
        <v>1633</v>
      </c>
      <c r="G394" s="64">
        <v>374.89</v>
      </c>
      <c r="H394" s="96">
        <v>0</v>
      </c>
      <c r="I394" s="19"/>
    </row>
    <row r="395" spans="1:9" ht="12.2" customHeight="1">
      <c r="A395" s="19"/>
      <c r="D395" s="180" t="s">
        <v>1994</v>
      </c>
      <c r="E395" s="181"/>
      <c r="F395" s="181"/>
      <c r="G395" s="92">
        <v>0</v>
      </c>
      <c r="H395" s="16"/>
      <c r="I395" s="19"/>
    </row>
    <row r="396" spans="1:9" ht="12.2" customHeight="1">
      <c r="A396" s="47"/>
      <c r="B396" s="55"/>
      <c r="C396" s="55"/>
      <c r="D396" s="180" t="s">
        <v>1995</v>
      </c>
      <c r="E396" s="181"/>
      <c r="F396" s="180"/>
      <c r="G396" s="92">
        <v>0</v>
      </c>
      <c r="H396" s="73"/>
      <c r="I396" s="19"/>
    </row>
    <row r="397" spans="1:9" ht="12.2" customHeight="1">
      <c r="A397" s="47"/>
      <c r="B397" s="55"/>
      <c r="C397" s="55"/>
      <c r="D397" s="180" t="s">
        <v>1996</v>
      </c>
      <c r="E397" s="181"/>
      <c r="F397" s="180"/>
      <c r="G397" s="92">
        <v>0</v>
      </c>
      <c r="H397" s="73"/>
      <c r="I397" s="19"/>
    </row>
    <row r="398" spans="1:9">
      <c r="A398" s="47" t="s">
        <v>337</v>
      </c>
      <c r="B398" s="55" t="s">
        <v>60</v>
      </c>
      <c r="C398" s="55" t="s">
        <v>809</v>
      </c>
      <c r="D398" s="165" t="s">
        <v>1213</v>
      </c>
      <c r="E398" s="166"/>
      <c r="F398" s="55" t="s">
        <v>1631</v>
      </c>
      <c r="G398" s="64">
        <v>5</v>
      </c>
      <c r="H398" s="96">
        <v>0</v>
      </c>
      <c r="I398" s="19"/>
    </row>
    <row r="399" spans="1:9">
      <c r="A399" s="47" t="s">
        <v>338</v>
      </c>
      <c r="B399" s="55" t="s">
        <v>60</v>
      </c>
      <c r="C399" s="55" t="s">
        <v>810</v>
      </c>
      <c r="D399" s="165" t="s">
        <v>1214</v>
      </c>
      <c r="E399" s="166"/>
      <c r="F399" s="55" t="s">
        <v>1633</v>
      </c>
      <c r="G399" s="64">
        <v>79.5</v>
      </c>
      <c r="H399" s="96">
        <v>0</v>
      </c>
      <c r="I399" s="19"/>
    </row>
    <row r="400" spans="1:9" ht="12.2" customHeight="1">
      <c r="A400" s="19"/>
      <c r="D400" s="180" t="s">
        <v>1997</v>
      </c>
      <c r="E400" s="181"/>
      <c r="F400" s="181"/>
      <c r="G400" s="92">
        <v>0</v>
      </c>
      <c r="H400" s="16"/>
      <c r="I400" s="19"/>
    </row>
    <row r="401" spans="1:9" ht="12.2" customHeight="1">
      <c r="A401" s="47"/>
      <c r="B401" s="55"/>
      <c r="C401" s="55"/>
      <c r="D401" s="180" t="s">
        <v>1998</v>
      </c>
      <c r="E401" s="181"/>
      <c r="F401" s="180"/>
      <c r="G401" s="92">
        <v>0</v>
      </c>
      <c r="H401" s="73"/>
      <c r="I401" s="19"/>
    </row>
    <row r="402" spans="1:9" ht="12.2" customHeight="1">
      <c r="A402" s="47"/>
      <c r="B402" s="55"/>
      <c r="C402" s="55"/>
      <c r="D402" s="180" t="s">
        <v>1999</v>
      </c>
      <c r="E402" s="181"/>
      <c r="F402" s="180"/>
      <c r="G402" s="92">
        <v>0</v>
      </c>
      <c r="H402" s="73"/>
      <c r="I402" s="19"/>
    </row>
    <row r="403" spans="1:9">
      <c r="A403" s="47" t="s">
        <v>339</v>
      </c>
      <c r="B403" s="55" t="s">
        <v>60</v>
      </c>
      <c r="C403" s="55" t="s">
        <v>811</v>
      </c>
      <c r="D403" s="165" t="s">
        <v>1215</v>
      </c>
      <c r="E403" s="166"/>
      <c r="F403" s="55" t="s">
        <v>1631</v>
      </c>
      <c r="G403" s="64">
        <v>9</v>
      </c>
      <c r="H403" s="96">
        <v>0</v>
      </c>
      <c r="I403" s="19"/>
    </row>
    <row r="404" spans="1:9" ht="12.2" customHeight="1">
      <c r="A404" s="19"/>
      <c r="D404" s="180" t="s">
        <v>2000</v>
      </c>
      <c r="E404" s="181"/>
      <c r="F404" s="181"/>
      <c r="G404" s="92">
        <v>0</v>
      </c>
      <c r="H404" s="16"/>
      <c r="I404" s="19"/>
    </row>
    <row r="405" spans="1:9" ht="12.2" customHeight="1">
      <c r="A405" s="47"/>
      <c r="B405" s="55"/>
      <c r="C405" s="55"/>
      <c r="D405" s="180" t="s">
        <v>1794</v>
      </c>
      <c r="E405" s="181"/>
      <c r="F405" s="180"/>
      <c r="G405" s="92">
        <v>0</v>
      </c>
      <c r="H405" s="73"/>
      <c r="I405" s="19"/>
    </row>
    <row r="406" spans="1:9" ht="12.2" customHeight="1">
      <c r="A406" s="47"/>
      <c r="B406" s="55"/>
      <c r="C406" s="55"/>
      <c r="D406" s="180" t="s">
        <v>2001</v>
      </c>
      <c r="E406" s="181"/>
      <c r="F406" s="180"/>
      <c r="G406" s="92">
        <v>0</v>
      </c>
      <c r="H406" s="73"/>
      <c r="I406" s="19"/>
    </row>
    <row r="407" spans="1:9">
      <c r="A407" s="47" t="s">
        <v>340</v>
      </c>
      <c r="B407" s="55" t="s">
        <v>60</v>
      </c>
      <c r="C407" s="55" t="s">
        <v>812</v>
      </c>
      <c r="D407" s="165" t="s">
        <v>1216</v>
      </c>
      <c r="E407" s="166"/>
      <c r="F407" s="55" t="s">
        <v>1631</v>
      </c>
      <c r="G407" s="64">
        <v>25</v>
      </c>
      <c r="H407" s="96">
        <v>0</v>
      </c>
      <c r="I407" s="19"/>
    </row>
    <row r="408" spans="1:9" ht="12.2" customHeight="1">
      <c r="A408" s="19"/>
      <c r="D408" s="180" t="s">
        <v>2002</v>
      </c>
      <c r="E408" s="181"/>
      <c r="F408" s="181"/>
      <c r="G408" s="92">
        <v>0</v>
      </c>
      <c r="H408" s="16"/>
      <c r="I408" s="19"/>
    </row>
    <row r="409" spans="1:9" ht="12.2" customHeight="1">
      <c r="A409" s="47"/>
      <c r="B409" s="55"/>
      <c r="C409" s="55"/>
      <c r="D409" s="180" t="s">
        <v>2003</v>
      </c>
      <c r="E409" s="181"/>
      <c r="F409" s="180"/>
      <c r="G409" s="92">
        <v>0</v>
      </c>
      <c r="H409" s="73"/>
      <c r="I409" s="19"/>
    </row>
    <row r="410" spans="1:9" ht="12.2" customHeight="1">
      <c r="A410" s="47"/>
      <c r="B410" s="55"/>
      <c r="C410" s="55"/>
      <c r="D410" s="180" t="s">
        <v>2004</v>
      </c>
      <c r="E410" s="181"/>
      <c r="F410" s="180"/>
      <c r="G410" s="92">
        <v>0</v>
      </c>
      <c r="H410" s="73"/>
      <c r="I410" s="19"/>
    </row>
    <row r="411" spans="1:9">
      <c r="A411" s="47" t="s">
        <v>341</v>
      </c>
      <c r="B411" s="55" t="s">
        <v>60</v>
      </c>
      <c r="C411" s="55" t="s">
        <v>813</v>
      </c>
      <c r="D411" s="165" t="s">
        <v>1217</v>
      </c>
      <c r="E411" s="166"/>
      <c r="F411" s="55" t="s">
        <v>1633</v>
      </c>
      <c r="G411" s="64">
        <v>374.89</v>
      </c>
      <c r="H411" s="96">
        <v>0</v>
      </c>
      <c r="I411" s="19"/>
    </row>
    <row r="412" spans="1:9" ht="12.2" customHeight="1">
      <c r="A412" s="19"/>
      <c r="D412" s="180" t="s">
        <v>2005</v>
      </c>
      <c r="E412" s="181"/>
      <c r="F412" s="181"/>
      <c r="G412" s="92">
        <v>0</v>
      </c>
      <c r="H412" s="16"/>
      <c r="I412" s="19"/>
    </row>
    <row r="413" spans="1:9" ht="12.2" customHeight="1">
      <c r="A413" s="47"/>
      <c r="B413" s="55"/>
      <c r="C413" s="55"/>
      <c r="D413" s="180" t="s">
        <v>2006</v>
      </c>
      <c r="E413" s="181"/>
      <c r="F413" s="180"/>
      <c r="G413" s="92">
        <v>0</v>
      </c>
      <c r="H413" s="73"/>
      <c r="I413" s="19"/>
    </row>
    <row r="414" spans="1:9" ht="12.2" customHeight="1">
      <c r="A414" s="47"/>
      <c r="B414" s="55"/>
      <c r="C414" s="55"/>
      <c r="D414" s="180" t="s">
        <v>2007</v>
      </c>
      <c r="E414" s="181"/>
      <c r="F414" s="180"/>
      <c r="G414" s="92">
        <v>0</v>
      </c>
      <c r="H414" s="73"/>
      <c r="I414" s="19"/>
    </row>
    <row r="415" spans="1:9">
      <c r="A415" s="47" t="s">
        <v>342</v>
      </c>
      <c r="B415" s="55" t="s">
        <v>60</v>
      </c>
      <c r="C415" s="55" t="s">
        <v>814</v>
      </c>
      <c r="D415" s="165" t="s">
        <v>1218</v>
      </c>
      <c r="E415" s="166"/>
      <c r="F415" s="55" t="s">
        <v>1633</v>
      </c>
      <c r="G415" s="64">
        <v>79.5</v>
      </c>
      <c r="H415" s="96">
        <v>0</v>
      </c>
      <c r="I415" s="19"/>
    </row>
    <row r="416" spans="1:9" ht="12.2" customHeight="1">
      <c r="A416" s="19"/>
      <c r="D416" s="180" t="s">
        <v>1997</v>
      </c>
      <c r="E416" s="181"/>
      <c r="F416" s="181"/>
      <c r="G416" s="92">
        <v>0</v>
      </c>
      <c r="H416" s="16"/>
      <c r="I416" s="19"/>
    </row>
    <row r="417" spans="1:9" ht="12.2" customHeight="1">
      <c r="A417" s="47"/>
      <c r="B417" s="55"/>
      <c r="C417" s="55"/>
      <c r="D417" s="180" t="s">
        <v>1998</v>
      </c>
      <c r="E417" s="181"/>
      <c r="F417" s="180"/>
      <c r="G417" s="92">
        <v>0</v>
      </c>
      <c r="H417" s="73"/>
      <c r="I417" s="19"/>
    </row>
    <row r="418" spans="1:9" ht="12.2" customHeight="1">
      <c r="A418" s="47"/>
      <c r="B418" s="55"/>
      <c r="C418" s="55"/>
      <c r="D418" s="180" t="s">
        <v>1999</v>
      </c>
      <c r="E418" s="181"/>
      <c r="F418" s="180"/>
      <c r="G418" s="92">
        <v>0</v>
      </c>
      <c r="H418" s="73"/>
      <c r="I418" s="19"/>
    </row>
    <row r="419" spans="1:9">
      <c r="A419" s="47" t="s">
        <v>343</v>
      </c>
      <c r="B419" s="55" t="s">
        <v>60</v>
      </c>
      <c r="C419" s="55" t="s">
        <v>815</v>
      </c>
      <c r="D419" s="165" t="s">
        <v>1219</v>
      </c>
      <c r="E419" s="166"/>
      <c r="F419" s="55" t="s">
        <v>1633</v>
      </c>
      <c r="G419" s="64">
        <v>368.39</v>
      </c>
      <c r="H419" s="96">
        <v>0</v>
      </c>
      <c r="I419" s="19"/>
    </row>
    <row r="420" spans="1:9" ht="12.2" customHeight="1">
      <c r="A420" s="19"/>
      <c r="D420" s="180" t="s">
        <v>2008</v>
      </c>
      <c r="E420" s="181"/>
      <c r="F420" s="181"/>
      <c r="G420" s="92">
        <v>0</v>
      </c>
      <c r="H420" s="16"/>
      <c r="I420" s="19"/>
    </row>
    <row r="421" spans="1:9" ht="12.2" customHeight="1">
      <c r="A421" s="47"/>
      <c r="B421" s="55"/>
      <c r="C421" s="55"/>
      <c r="D421" s="180" t="s">
        <v>2009</v>
      </c>
      <c r="E421" s="181"/>
      <c r="F421" s="180"/>
      <c r="G421" s="92">
        <v>0</v>
      </c>
      <c r="H421" s="73"/>
      <c r="I421" s="19"/>
    </row>
    <row r="422" spans="1:9" ht="12.2" customHeight="1">
      <c r="A422" s="47"/>
      <c r="B422" s="55"/>
      <c r="C422" s="55"/>
      <c r="D422" s="180" t="s">
        <v>2010</v>
      </c>
      <c r="E422" s="181"/>
      <c r="F422" s="180"/>
      <c r="G422" s="92">
        <v>0</v>
      </c>
      <c r="H422" s="73"/>
      <c r="I422" s="19"/>
    </row>
    <row r="423" spans="1:9">
      <c r="A423" s="48" t="s">
        <v>344</v>
      </c>
      <c r="B423" s="56" t="s">
        <v>60</v>
      </c>
      <c r="C423" s="56" t="s">
        <v>816</v>
      </c>
      <c r="D423" s="170" t="s">
        <v>1220</v>
      </c>
      <c r="E423" s="171"/>
      <c r="F423" s="56" t="s">
        <v>1631</v>
      </c>
      <c r="G423" s="65">
        <v>202.61449999999999</v>
      </c>
      <c r="H423" s="97">
        <v>0</v>
      </c>
      <c r="I423" s="19"/>
    </row>
    <row r="424" spans="1:9" ht="12.2" customHeight="1">
      <c r="A424" s="19"/>
      <c r="D424" s="182" t="s">
        <v>2011</v>
      </c>
      <c r="E424" s="183"/>
      <c r="F424" s="183"/>
      <c r="G424" s="93">
        <v>0</v>
      </c>
      <c r="H424" s="16"/>
      <c r="I424" s="19"/>
    </row>
    <row r="425" spans="1:9" ht="12.2" customHeight="1">
      <c r="A425" s="48"/>
      <c r="B425" s="56"/>
      <c r="C425" s="56"/>
      <c r="D425" s="182" t="s">
        <v>2012</v>
      </c>
      <c r="E425" s="183"/>
      <c r="F425" s="182"/>
      <c r="G425" s="93">
        <v>0</v>
      </c>
      <c r="H425" s="74"/>
      <c r="I425" s="19"/>
    </row>
    <row r="426" spans="1:9" ht="12.2" customHeight="1">
      <c r="A426" s="48"/>
      <c r="B426" s="56"/>
      <c r="C426" s="56"/>
      <c r="D426" s="182" t="s">
        <v>2013</v>
      </c>
      <c r="E426" s="183"/>
      <c r="F426" s="182"/>
      <c r="G426" s="93">
        <v>0</v>
      </c>
      <c r="H426" s="74"/>
      <c r="I426" s="19"/>
    </row>
    <row r="427" spans="1:9" ht="12.2" customHeight="1">
      <c r="A427" s="48"/>
      <c r="B427" s="56"/>
      <c r="C427" s="56"/>
      <c r="D427" s="182" t="s">
        <v>2014</v>
      </c>
      <c r="E427" s="183"/>
      <c r="F427" s="182"/>
      <c r="G427" s="93">
        <v>0</v>
      </c>
      <c r="H427" s="74"/>
      <c r="I427" s="19"/>
    </row>
    <row r="428" spans="1:9">
      <c r="A428" s="47" t="s">
        <v>345</v>
      </c>
      <c r="B428" s="55" t="s">
        <v>60</v>
      </c>
      <c r="C428" s="55" t="s">
        <v>757</v>
      </c>
      <c r="D428" s="165" t="s">
        <v>1157</v>
      </c>
      <c r="E428" s="166"/>
      <c r="F428" s="55" t="s">
        <v>1634</v>
      </c>
      <c r="G428" s="64">
        <v>4.6167999999999996</v>
      </c>
      <c r="H428" s="96">
        <v>0</v>
      </c>
      <c r="I428" s="19"/>
    </row>
    <row r="429" spans="1:9">
      <c r="A429" s="47" t="s">
        <v>346</v>
      </c>
      <c r="B429" s="55" t="s">
        <v>70</v>
      </c>
      <c r="C429" s="55" t="s">
        <v>1019</v>
      </c>
      <c r="D429" s="165" t="s">
        <v>1516</v>
      </c>
      <c r="E429" s="166"/>
      <c r="F429" s="55" t="s">
        <v>1632</v>
      </c>
      <c r="G429" s="64">
        <v>128.57454999999999</v>
      </c>
      <c r="H429" s="96">
        <v>0</v>
      </c>
      <c r="I429" s="19"/>
    </row>
    <row r="430" spans="1:9" ht="12.2" customHeight="1">
      <c r="A430" s="19"/>
      <c r="D430" s="180" t="s">
        <v>2015</v>
      </c>
      <c r="E430" s="181"/>
      <c r="F430" s="181"/>
      <c r="G430" s="92">
        <v>0</v>
      </c>
      <c r="H430" s="16"/>
      <c r="I430" s="19"/>
    </row>
    <row r="431" spans="1:9" ht="12.2" customHeight="1">
      <c r="A431" s="47"/>
      <c r="B431" s="55"/>
      <c r="C431" s="55"/>
      <c r="D431" s="180" t="s">
        <v>2016</v>
      </c>
      <c r="E431" s="181"/>
      <c r="F431" s="180"/>
      <c r="G431" s="92">
        <v>0</v>
      </c>
      <c r="H431" s="73"/>
      <c r="I431" s="19"/>
    </row>
    <row r="432" spans="1:9" ht="12.2" customHeight="1">
      <c r="A432" s="47"/>
      <c r="B432" s="55"/>
      <c r="C432" s="55"/>
      <c r="D432" s="180" t="s">
        <v>2017</v>
      </c>
      <c r="E432" s="181"/>
      <c r="F432" s="180"/>
      <c r="G432" s="92">
        <v>0</v>
      </c>
      <c r="H432" s="73"/>
      <c r="I432" s="19"/>
    </row>
    <row r="433" spans="1:9" ht="12.2" customHeight="1">
      <c r="A433" s="47"/>
      <c r="B433" s="55"/>
      <c r="C433" s="55"/>
      <c r="D433" s="180" t="s">
        <v>2018</v>
      </c>
      <c r="E433" s="181"/>
      <c r="F433" s="180"/>
      <c r="G433" s="92">
        <v>0</v>
      </c>
      <c r="H433" s="73"/>
      <c r="I433" s="19"/>
    </row>
    <row r="434" spans="1:9">
      <c r="A434" s="48" t="s">
        <v>347</v>
      </c>
      <c r="B434" s="56" t="s">
        <v>70</v>
      </c>
      <c r="C434" s="56" t="s">
        <v>1020</v>
      </c>
      <c r="D434" s="170" t="s">
        <v>1518</v>
      </c>
      <c r="E434" s="171"/>
      <c r="F434" s="56" t="s">
        <v>1631</v>
      </c>
      <c r="G434" s="65">
        <v>64.287279999999996</v>
      </c>
      <c r="H434" s="97">
        <v>0</v>
      </c>
      <c r="I434" s="19"/>
    </row>
    <row r="435" spans="1:9" ht="12.2" customHeight="1">
      <c r="A435" s="19"/>
      <c r="D435" s="182" t="s">
        <v>2015</v>
      </c>
      <c r="E435" s="183"/>
      <c r="F435" s="183"/>
      <c r="G435" s="93">
        <v>0</v>
      </c>
      <c r="H435" s="16"/>
      <c r="I435" s="19"/>
    </row>
    <row r="436" spans="1:9" ht="12.2" customHeight="1">
      <c r="A436" s="48"/>
      <c r="B436" s="56"/>
      <c r="C436" s="56"/>
      <c r="D436" s="182" t="s">
        <v>2019</v>
      </c>
      <c r="E436" s="183"/>
      <c r="F436" s="182"/>
      <c r="G436" s="93">
        <v>0</v>
      </c>
      <c r="H436" s="74"/>
      <c r="I436" s="19"/>
    </row>
    <row r="437" spans="1:9" ht="12.2" customHeight="1">
      <c r="A437" s="48"/>
      <c r="B437" s="56"/>
      <c r="C437" s="56"/>
      <c r="D437" s="182" t="s">
        <v>2020</v>
      </c>
      <c r="E437" s="183"/>
      <c r="F437" s="182"/>
      <c r="G437" s="93">
        <v>0</v>
      </c>
      <c r="H437" s="74"/>
      <c r="I437" s="19"/>
    </row>
    <row r="438" spans="1:9" ht="12.2" customHeight="1">
      <c r="A438" s="48"/>
      <c r="B438" s="56"/>
      <c r="C438" s="56"/>
      <c r="D438" s="182" t="s">
        <v>2021</v>
      </c>
      <c r="E438" s="183"/>
      <c r="F438" s="182"/>
      <c r="G438" s="93">
        <v>0</v>
      </c>
      <c r="H438" s="74"/>
      <c r="I438" s="19"/>
    </row>
    <row r="439" spans="1:9">
      <c r="A439" s="47" t="s">
        <v>348</v>
      </c>
      <c r="B439" s="55" t="s">
        <v>70</v>
      </c>
      <c r="C439" s="55" t="s">
        <v>1021</v>
      </c>
      <c r="D439" s="165" t="s">
        <v>1519</v>
      </c>
      <c r="E439" s="166"/>
      <c r="F439" s="55" t="s">
        <v>1632</v>
      </c>
      <c r="G439" s="64">
        <v>128.57454999999999</v>
      </c>
      <c r="H439" s="96">
        <v>0</v>
      </c>
      <c r="I439" s="19"/>
    </row>
    <row r="440" spans="1:9" ht="12.2" customHeight="1">
      <c r="A440" s="19"/>
      <c r="D440" s="180" t="s">
        <v>2015</v>
      </c>
      <c r="E440" s="181"/>
      <c r="F440" s="181"/>
      <c r="G440" s="92">
        <v>0</v>
      </c>
      <c r="H440" s="16"/>
      <c r="I440" s="19"/>
    </row>
    <row r="441" spans="1:9" ht="12.2" customHeight="1">
      <c r="A441" s="47"/>
      <c r="B441" s="55"/>
      <c r="C441" s="55"/>
      <c r="D441" s="180" t="s">
        <v>2016</v>
      </c>
      <c r="E441" s="181"/>
      <c r="F441" s="180"/>
      <c r="G441" s="92">
        <v>0</v>
      </c>
      <c r="H441" s="73"/>
      <c r="I441" s="19"/>
    </row>
    <row r="442" spans="1:9" ht="12.2" customHeight="1">
      <c r="A442" s="47"/>
      <c r="B442" s="55"/>
      <c r="C442" s="55"/>
      <c r="D442" s="180" t="s">
        <v>2017</v>
      </c>
      <c r="E442" s="181"/>
      <c r="F442" s="180"/>
      <c r="G442" s="92">
        <v>0</v>
      </c>
      <c r="H442" s="73"/>
      <c r="I442" s="19"/>
    </row>
    <row r="443" spans="1:9" ht="12.2" customHeight="1">
      <c r="A443" s="47"/>
      <c r="B443" s="55"/>
      <c r="C443" s="55"/>
      <c r="D443" s="180" t="s">
        <v>2018</v>
      </c>
      <c r="E443" s="181"/>
      <c r="F443" s="180"/>
      <c r="G443" s="92">
        <v>0</v>
      </c>
      <c r="H443" s="73"/>
      <c r="I443" s="19"/>
    </row>
    <row r="444" spans="1:9">
      <c r="A444" s="47" t="s">
        <v>349</v>
      </c>
      <c r="B444" s="55" t="s">
        <v>70</v>
      </c>
      <c r="C444" s="55" t="s">
        <v>767</v>
      </c>
      <c r="D444" s="165" t="s">
        <v>1520</v>
      </c>
      <c r="E444" s="166"/>
      <c r="F444" s="55" t="s">
        <v>1632</v>
      </c>
      <c r="G444" s="64">
        <v>1157.1709499999999</v>
      </c>
      <c r="H444" s="96">
        <v>0</v>
      </c>
      <c r="I444" s="19"/>
    </row>
    <row r="445" spans="1:9" ht="12.2" customHeight="1">
      <c r="A445" s="19"/>
      <c r="D445" s="180" t="s">
        <v>2022</v>
      </c>
      <c r="E445" s="181"/>
      <c r="F445" s="181"/>
      <c r="G445" s="92">
        <v>0</v>
      </c>
      <c r="H445" s="16"/>
      <c r="I445" s="19"/>
    </row>
    <row r="446" spans="1:9" ht="12.2" customHeight="1">
      <c r="A446" s="47"/>
      <c r="B446" s="55"/>
      <c r="C446" s="55"/>
      <c r="D446" s="180" t="s">
        <v>2023</v>
      </c>
      <c r="E446" s="181"/>
      <c r="F446" s="180"/>
      <c r="G446" s="92">
        <v>0</v>
      </c>
      <c r="H446" s="73"/>
      <c r="I446" s="19"/>
    </row>
    <row r="447" spans="1:9" ht="12.2" customHeight="1">
      <c r="A447" s="47"/>
      <c r="B447" s="55"/>
      <c r="C447" s="55"/>
      <c r="D447" s="180" t="s">
        <v>2024</v>
      </c>
      <c r="E447" s="181"/>
      <c r="F447" s="180"/>
      <c r="G447" s="92">
        <v>0</v>
      </c>
      <c r="H447" s="73"/>
      <c r="I447" s="19"/>
    </row>
    <row r="448" spans="1:9" ht="12.2" customHeight="1">
      <c r="A448" s="47"/>
      <c r="B448" s="55"/>
      <c r="C448" s="55"/>
      <c r="D448" s="180" t="s">
        <v>2025</v>
      </c>
      <c r="E448" s="181"/>
      <c r="F448" s="180"/>
      <c r="G448" s="92">
        <v>0</v>
      </c>
      <c r="H448" s="73"/>
      <c r="I448" s="19"/>
    </row>
    <row r="449" spans="1:9">
      <c r="A449" s="47" t="s">
        <v>350</v>
      </c>
      <c r="B449" s="55" t="s">
        <v>70</v>
      </c>
      <c r="C449" s="55" t="s">
        <v>757</v>
      </c>
      <c r="D449" s="165" t="s">
        <v>1157</v>
      </c>
      <c r="E449" s="166"/>
      <c r="F449" s="55" t="s">
        <v>1634</v>
      </c>
      <c r="G449" s="64">
        <v>1.7550399999999999</v>
      </c>
      <c r="H449" s="96">
        <v>0</v>
      </c>
      <c r="I449" s="19"/>
    </row>
    <row r="450" spans="1:9">
      <c r="A450" s="87"/>
      <c r="B450" s="54"/>
      <c r="C450" s="54" t="s">
        <v>136</v>
      </c>
      <c r="D450" s="163" t="s">
        <v>187</v>
      </c>
      <c r="E450" s="164"/>
      <c r="F450" s="54"/>
      <c r="G450" s="77"/>
      <c r="H450" s="72"/>
      <c r="I450" s="19"/>
    </row>
    <row r="451" spans="1:9">
      <c r="A451" s="47" t="s">
        <v>351</v>
      </c>
      <c r="B451" s="55" t="s">
        <v>59</v>
      </c>
      <c r="C451" s="55" t="s">
        <v>758</v>
      </c>
      <c r="D451" s="165" t="s">
        <v>1158</v>
      </c>
      <c r="E451" s="166"/>
      <c r="F451" s="55" t="s">
        <v>1633</v>
      </c>
      <c r="G451" s="64">
        <v>9.4</v>
      </c>
      <c r="H451" s="96">
        <v>0</v>
      </c>
      <c r="I451" s="19"/>
    </row>
    <row r="452" spans="1:9" ht="12.2" customHeight="1">
      <c r="A452" s="19"/>
      <c r="D452" s="180" t="s">
        <v>2026</v>
      </c>
      <c r="E452" s="181"/>
      <c r="F452" s="181"/>
      <c r="G452" s="92">
        <v>0</v>
      </c>
      <c r="H452" s="16"/>
      <c r="I452" s="19"/>
    </row>
    <row r="453" spans="1:9" ht="12.2" customHeight="1">
      <c r="A453" s="47"/>
      <c r="B453" s="55"/>
      <c r="C453" s="55"/>
      <c r="D453" s="180" t="s">
        <v>2027</v>
      </c>
      <c r="E453" s="181"/>
      <c r="F453" s="180"/>
      <c r="G453" s="92">
        <v>0</v>
      </c>
      <c r="H453" s="73"/>
      <c r="I453" s="19"/>
    </row>
    <row r="454" spans="1:9" ht="12.2" customHeight="1">
      <c r="A454" s="47"/>
      <c r="B454" s="55"/>
      <c r="C454" s="55"/>
      <c r="D454" s="180" t="s">
        <v>2028</v>
      </c>
      <c r="E454" s="181"/>
      <c r="F454" s="180"/>
      <c r="G454" s="92">
        <v>0</v>
      </c>
      <c r="H454" s="73"/>
      <c r="I454" s="19"/>
    </row>
    <row r="455" spans="1:9">
      <c r="A455" s="48" t="s">
        <v>352</v>
      </c>
      <c r="B455" s="56" t="s">
        <v>59</v>
      </c>
      <c r="C455" s="56" t="s">
        <v>759</v>
      </c>
      <c r="D455" s="170" t="s">
        <v>1159</v>
      </c>
      <c r="E455" s="171"/>
      <c r="F455" s="56" t="s">
        <v>1635</v>
      </c>
      <c r="G455" s="65">
        <v>10</v>
      </c>
      <c r="H455" s="97">
        <v>0</v>
      </c>
      <c r="I455" s="19"/>
    </row>
    <row r="456" spans="1:9" ht="12.2" customHeight="1">
      <c r="A456" s="19"/>
      <c r="D456" s="182" t="s">
        <v>2029</v>
      </c>
      <c r="E456" s="183"/>
      <c r="F456" s="183"/>
      <c r="G456" s="93">
        <v>0</v>
      </c>
      <c r="H456" s="16"/>
      <c r="I456" s="19"/>
    </row>
    <row r="457" spans="1:9" ht="12.2" customHeight="1">
      <c r="A457" s="48"/>
      <c r="B457" s="56"/>
      <c r="C457" s="56"/>
      <c r="D457" s="182" t="s">
        <v>2030</v>
      </c>
      <c r="E457" s="183"/>
      <c r="F457" s="182"/>
      <c r="G457" s="93">
        <v>0</v>
      </c>
      <c r="H457" s="74"/>
      <c r="I457" s="19"/>
    </row>
    <row r="458" spans="1:9" ht="12.2" customHeight="1">
      <c r="A458" s="48" t="s">
        <v>353</v>
      </c>
      <c r="B458" s="56" t="s">
        <v>59</v>
      </c>
      <c r="C458" s="56" t="s">
        <v>760</v>
      </c>
      <c r="D458" s="182" t="s">
        <v>1794</v>
      </c>
      <c r="E458" s="183"/>
      <c r="F458" s="182"/>
      <c r="G458" s="93">
        <v>0</v>
      </c>
      <c r="H458" s="97">
        <v>0</v>
      </c>
      <c r="I458" s="19"/>
    </row>
    <row r="459" spans="1:9">
      <c r="A459" s="47" t="s">
        <v>354</v>
      </c>
      <c r="B459" s="55" t="s">
        <v>59</v>
      </c>
      <c r="C459" s="55" t="s">
        <v>761</v>
      </c>
      <c r="D459" s="165" t="s">
        <v>1161</v>
      </c>
      <c r="E459" s="166"/>
      <c r="F459" s="55" t="s">
        <v>1633</v>
      </c>
      <c r="G459" s="64">
        <v>6.2</v>
      </c>
      <c r="H459" s="96">
        <v>0</v>
      </c>
      <c r="I459" s="19"/>
    </row>
    <row r="460" spans="1:9" ht="12.2" customHeight="1">
      <c r="A460" s="19"/>
      <c r="D460" s="180" t="s">
        <v>2031</v>
      </c>
      <c r="E460" s="181"/>
      <c r="F460" s="181"/>
      <c r="G460" s="92">
        <v>0</v>
      </c>
      <c r="H460" s="16"/>
      <c r="I460" s="19"/>
    </row>
    <row r="461" spans="1:9" ht="12.2" customHeight="1">
      <c r="A461" s="47"/>
      <c r="B461" s="55"/>
      <c r="C461" s="55"/>
      <c r="D461" s="180" t="s">
        <v>2032</v>
      </c>
      <c r="E461" s="181"/>
      <c r="F461" s="180"/>
      <c r="G461" s="92">
        <v>0</v>
      </c>
      <c r="H461" s="73"/>
      <c r="I461" s="19"/>
    </row>
    <row r="462" spans="1:9" ht="12.2" customHeight="1">
      <c r="A462" s="47"/>
      <c r="B462" s="55"/>
      <c r="C462" s="55"/>
      <c r="D462" s="180" t="s">
        <v>2028</v>
      </c>
      <c r="E462" s="181"/>
      <c r="F462" s="180"/>
      <c r="G462" s="92">
        <v>0</v>
      </c>
      <c r="H462" s="73"/>
      <c r="I462" s="19"/>
    </row>
    <row r="463" spans="1:9">
      <c r="A463" s="47" t="s">
        <v>355</v>
      </c>
      <c r="B463" s="55" t="s">
        <v>59</v>
      </c>
      <c r="C463" s="55" t="s">
        <v>762</v>
      </c>
      <c r="D463" s="165" t="s">
        <v>1162</v>
      </c>
      <c r="E463" s="166"/>
      <c r="F463" s="55" t="s">
        <v>1631</v>
      </c>
      <c r="G463" s="64">
        <v>58</v>
      </c>
      <c r="H463" s="96">
        <v>0</v>
      </c>
      <c r="I463" s="19"/>
    </row>
    <row r="464" spans="1:9" ht="12.2" customHeight="1">
      <c r="A464" s="19"/>
      <c r="D464" s="180" t="s">
        <v>2033</v>
      </c>
      <c r="E464" s="181"/>
      <c r="F464" s="181"/>
      <c r="G464" s="92">
        <v>0</v>
      </c>
      <c r="H464" s="16"/>
      <c r="I464" s="19"/>
    </row>
    <row r="465" spans="1:9" ht="12.2" customHeight="1">
      <c r="A465" s="47"/>
      <c r="B465" s="55"/>
      <c r="C465" s="55"/>
      <c r="D465" s="180" t="s">
        <v>2034</v>
      </c>
      <c r="E465" s="181"/>
      <c r="F465" s="180"/>
      <c r="G465" s="92">
        <v>0</v>
      </c>
      <c r="H465" s="73"/>
      <c r="I465" s="19"/>
    </row>
    <row r="466" spans="1:9" ht="12.2" customHeight="1">
      <c r="A466" s="47"/>
      <c r="B466" s="55"/>
      <c r="C466" s="55"/>
      <c r="D466" s="180" t="s">
        <v>2035</v>
      </c>
      <c r="E466" s="181"/>
      <c r="F466" s="180"/>
      <c r="G466" s="92">
        <v>0</v>
      </c>
      <c r="H466" s="73"/>
      <c r="I466" s="19"/>
    </row>
    <row r="467" spans="1:9">
      <c r="A467" s="47" t="s">
        <v>356</v>
      </c>
      <c r="B467" s="55" t="s">
        <v>59</v>
      </c>
      <c r="C467" s="55" t="s">
        <v>763</v>
      </c>
      <c r="D467" s="165" t="s">
        <v>1162</v>
      </c>
      <c r="E467" s="166"/>
      <c r="F467" s="55" t="s">
        <v>1631</v>
      </c>
      <c r="G467" s="64">
        <v>56</v>
      </c>
      <c r="H467" s="96">
        <v>0</v>
      </c>
      <c r="I467" s="19"/>
    </row>
    <row r="468" spans="1:9" ht="12.2" customHeight="1">
      <c r="A468" s="19"/>
      <c r="D468" s="180" t="s">
        <v>2033</v>
      </c>
      <c r="E468" s="181"/>
      <c r="F468" s="181"/>
      <c r="G468" s="92">
        <v>0</v>
      </c>
      <c r="H468" s="16"/>
      <c r="I468" s="19"/>
    </row>
    <row r="469" spans="1:9" ht="12.2" customHeight="1">
      <c r="A469" s="47"/>
      <c r="B469" s="55"/>
      <c r="C469" s="55"/>
      <c r="D469" s="180" t="s">
        <v>2036</v>
      </c>
      <c r="E469" s="181"/>
      <c r="F469" s="180"/>
      <c r="G469" s="92">
        <v>0</v>
      </c>
      <c r="H469" s="73"/>
      <c r="I469" s="19"/>
    </row>
    <row r="470" spans="1:9" ht="12.2" customHeight="1">
      <c r="A470" s="47"/>
      <c r="B470" s="55"/>
      <c r="C470" s="55"/>
      <c r="D470" s="180" t="s">
        <v>2037</v>
      </c>
      <c r="E470" s="181"/>
      <c r="F470" s="180"/>
      <c r="G470" s="92">
        <v>0</v>
      </c>
      <c r="H470" s="73"/>
      <c r="I470" s="19"/>
    </row>
    <row r="471" spans="1:9">
      <c r="A471" s="48" t="s">
        <v>357</v>
      </c>
      <c r="B471" s="56" t="s">
        <v>59</v>
      </c>
      <c r="C471" s="56" t="s">
        <v>764</v>
      </c>
      <c r="D471" s="170" t="s">
        <v>1163</v>
      </c>
      <c r="E471" s="171"/>
      <c r="F471" s="56" t="s">
        <v>1633</v>
      </c>
      <c r="G471" s="65">
        <v>28</v>
      </c>
      <c r="H471" s="97">
        <v>0</v>
      </c>
      <c r="I471" s="19"/>
    </row>
    <row r="472" spans="1:9" ht="12.2" customHeight="1">
      <c r="A472" s="19"/>
      <c r="D472" s="182" t="s">
        <v>2038</v>
      </c>
      <c r="E472" s="183"/>
      <c r="F472" s="183"/>
      <c r="G472" s="93">
        <v>0</v>
      </c>
      <c r="H472" s="16"/>
      <c r="I472" s="19"/>
    </row>
    <row r="473" spans="1:9" ht="12.2" customHeight="1">
      <c r="A473" s="48"/>
      <c r="B473" s="56"/>
      <c r="C473" s="56"/>
      <c r="D473" s="182" t="s">
        <v>2039</v>
      </c>
      <c r="E473" s="183"/>
      <c r="F473" s="182"/>
      <c r="G473" s="93">
        <v>0</v>
      </c>
      <c r="H473" s="74"/>
      <c r="I473" s="19"/>
    </row>
    <row r="474" spans="1:9" ht="12.2" customHeight="1">
      <c r="A474" s="48"/>
      <c r="B474" s="56"/>
      <c r="C474" s="56"/>
      <c r="D474" s="182" t="s">
        <v>2040</v>
      </c>
      <c r="E474" s="183"/>
      <c r="F474" s="182"/>
      <c r="G474" s="93">
        <v>0</v>
      </c>
      <c r="H474" s="74"/>
      <c r="I474" s="19"/>
    </row>
    <row r="475" spans="1:9" ht="12.2" customHeight="1">
      <c r="A475" s="48"/>
      <c r="B475" s="56"/>
      <c r="C475" s="56"/>
      <c r="D475" s="182" t="s">
        <v>2041</v>
      </c>
      <c r="E475" s="183"/>
      <c r="F475" s="182"/>
      <c r="G475" s="93">
        <v>0</v>
      </c>
      <c r="H475" s="74"/>
      <c r="I475" s="19"/>
    </row>
    <row r="476" spans="1:9">
      <c r="A476" s="48" t="s">
        <v>358</v>
      </c>
      <c r="B476" s="56" t="s">
        <v>59</v>
      </c>
      <c r="C476" s="56" t="s">
        <v>765</v>
      </c>
      <c r="D476" s="170" t="s">
        <v>1164</v>
      </c>
      <c r="E476" s="171"/>
      <c r="F476" s="56" t="s">
        <v>1636</v>
      </c>
      <c r="G476" s="65">
        <v>54</v>
      </c>
      <c r="H476" s="97">
        <v>0</v>
      </c>
      <c r="I476" s="19"/>
    </row>
    <row r="477" spans="1:9" ht="12.2" customHeight="1">
      <c r="A477" s="19"/>
      <c r="D477" s="182" t="s">
        <v>2033</v>
      </c>
      <c r="E477" s="183"/>
      <c r="F477" s="183"/>
      <c r="G477" s="93">
        <v>0</v>
      </c>
      <c r="H477" s="16"/>
      <c r="I477" s="19"/>
    </row>
    <row r="478" spans="1:9" ht="12.2" customHeight="1">
      <c r="A478" s="48"/>
      <c r="B478" s="56"/>
      <c r="C478" s="56"/>
      <c r="D478" s="182" t="s">
        <v>2042</v>
      </c>
      <c r="E478" s="183"/>
      <c r="F478" s="182"/>
      <c r="G478" s="93">
        <v>0</v>
      </c>
      <c r="H478" s="74"/>
      <c r="I478" s="19"/>
    </row>
    <row r="479" spans="1:9" ht="12.2" customHeight="1">
      <c r="A479" s="48"/>
      <c r="B479" s="56"/>
      <c r="C479" s="56"/>
      <c r="D479" s="182" t="s">
        <v>2037</v>
      </c>
      <c r="E479" s="183"/>
      <c r="F479" s="182"/>
      <c r="G479" s="93">
        <v>0</v>
      </c>
      <c r="H479" s="74"/>
      <c r="I479" s="19"/>
    </row>
    <row r="480" spans="1:9" ht="12.2" customHeight="1">
      <c r="A480" s="48" t="s">
        <v>359</v>
      </c>
      <c r="B480" s="56" t="s">
        <v>59</v>
      </c>
      <c r="C480" s="56" t="s">
        <v>766</v>
      </c>
      <c r="D480" s="182" t="s">
        <v>2030</v>
      </c>
      <c r="E480" s="183"/>
      <c r="F480" s="182"/>
      <c r="G480" s="93">
        <v>0</v>
      </c>
      <c r="H480" s="97">
        <v>0</v>
      </c>
      <c r="I480" s="19"/>
    </row>
    <row r="481" spans="1:9">
      <c r="A481" s="47" t="s">
        <v>360</v>
      </c>
      <c r="B481" s="55" t="s">
        <v>59</v>
      </c>
      <c r="C481" s="55" t="s">
        <v>767</v>
      </c>
      <c r="D481" s="165" t="s">
        <v>1166</v>
      </c>
      <c r="E481" s="166"/>
      <c r="F481" s="55" t="s">
        <v>1632</v>
      </c>
      <c r="G481" s="64">
        <v>8.94</v>
      </c>
      <c r="H481" s="96">
        <v>0</v>
      </c>
      <c r="I481" s="19"/>
    </row>
    <row r="482" spans="1:9" ht="12.2" customHeight="1">
      <c r="A482" s="19"/>
      <c r="D482" s="180" t="s">
        <v>2043</v>
      </c>
      <c r="E482" s="181"/>
      <c r="F482" s="181"/>
      <c r="G482" s="92">
        <v>0</v>
      </c>
      <c r="H482" s="16"/>
      <c r="I482" s="19"/>
    </row>
    <row r="483" spans="1:9" ht="12.2" customHeight="1">
      <c r="A483" s="47"/>
      <c r="B483" s="55"/>
      <c r="C483" s="55"/>
      <c r="D483" s="180" t="s">
        <v>2044</v>
      </c>
      <c r="E483" s="181"/>
      <c r="F483" s="180"/>
      <c r="G483" s="92">
        <v>0</v>
      </c>
      <c r="H483" s="73"/>
      <c r="I483" s="19"/>
    </row>
    <row r="484" spans="1:9" ht="12.2" customHeight="1">
      <c r="A484" s="47"/>
      <c r="B484" s="55"/>
      <c r="C484" s="55"/>
      <c r="D484" s="180" t="s">
        <v>2045</v>
      </c>
      <c r="E484" s="181"/>
      <c r="F484" s="180"/>
      <c r="G484" s="92">
        <v>0</v>
      </c>
      <c r="H484" s="73"/>
      <c r="I484" s="19"/>
    </row>
    <row r="485" spans="1:9" ht="12.2" customHeight="1">
      <c r="A485" s="47" t="s">
        <v>361</v>
      </c>
      <c r="B485" s="55" t="s">
        <v>59</v>
      </c>
      <c r="C485" s="55" t="s">
        <v>768</v>
      </c>
      <c r="D485" s="180" t="s">
        <v>2046</v>
      </c>
      <c r="E485" s="181"/>
      <c r="F485" s="180"/>
      <c r="G485" s="92">
        <v>0</v>
      </c>
      <c r="H485" s="96">
        <v>0</v>
      </c>
      <c r="I485" s="19"/>
    </row>
    <row r="486" spans="1:9" ht="12.2" customHeight="1">
      <c r="A486" s="47"/>
      <c r="B486" s="55"/>
      <c r="C486" s="55"/>
      <c r="D486" s="180" t="s">
        <v>2044</v>
      </c>
      <c r="E486" s="181"/>
      <c r="F486" s="180"/>
      <c r="G486" s="92">
        <v>0</v>
      </c>
      <c r="H486" s="73"/>
      <c r="I486" s="19"/>
    </row>
    <row r="487" spans="1:9" ht="12.2" customHeight="1">
      <c r="A487" s="47" t="s">
        <v>362</v>
      </c>
      <c r="B487" s="55" t="s">
        <v>59</v>
      </c>
      <c r="C487" s="55" t="s">
        <v>769</v>
      </c>
      <c r="D487" s="180" t="s">
        <v>2045</v>
      </c>
      <c r="E487" s="181"/>
      <c r="F487" s="180"/>
      <c r="G487" s="92">
        <v>0</v>
      </c>
      <c r="H487" s="96">
        <v>0</v>
      </c>
      <c r="I487" s="19"/>
    </row>
    <row r="488" spans="1:9" ht="12.2" customHeight="1">
      <c r="A488" s="47" t="s">
        <v>363</v>
      </c>
      <c r="B488" s="55" t="s">
        <v>59</v>
      </c>
      <c r="C488" s="55" t="s">
        <v>767</v>
      </c>
      <c r="D488" s="180" t="s">
        <v>2047</v>
      </c>
      <c r="E488" s="181"/>
      <c r="F488" s="180"/>
      <c r="G488" s="92">
        <v>0</v>
      </c>
      <c r="H488" s="96">
        <v>0</v>
      </c>
      <c r="I488" s="19"/>
    </row>
    <row r="489" spans="1:9" ht="12.2" customHeight="1">
      <c r="A489" s="47"/>
      <c r="B489" s="55"/>
      <c r="C489" s="55"/>
      <c r="D489" s="180" t="s">
        <v>2048</v>
      </c>
      <c r="E489" s="181"/>
      <c r="F489" s="180"/>
      <c r="G489" s="92">
        <v>0</v>
      </c>
      <c r="H489" s="73"/>
      <c r="I489" s="19"/>
    </row>
    <row r="490" spans="1:9">
      <c r="A490" s="47" t="s">
        <v>364</v>
      </c>
      <c r="B490" s="55" t="s">
        <v>59</v>
      </c>
      <c r="C490" s="55" t="s">
        <v>767</v>
      </c>
      <c r="D490" s="165" t="s">
        <v>1170</v>
      </c>
      <c r="E490" s="166"/>
      <c r="F490" s="55" t="s">
        <v>1636</v>
      </c>
      <c r="G490" s="64">
        <v>1</v>
      </c>
      <c r="H490" s="96">
        <v>0</v>
      </c>
      <c r="I490" s="19"/>
    </row>
    <row r="491" spans="1:9" ht="12.2" customHeight="1">
      <c r="A491" s="47" t="s">
        <v>365</v>
      </c>
      <c r="B491" s="55" t="s">
        <v>59</v>
      </c>
      <c r="C491" s="55" t="s">
        <v>767</v>
      </c>
      <c r="D491" s="180" t="s">
        <v>1834</v>
      </c>
      <c r="E491" s="181"/>
      <c r="F491" s="180"/>
      <c r="G491" s="92">
        <v>0</v>
      </c>
      <c r="H491" s="96">
        <v>0</v>
      </c>
      <c r="I491" s="19"/>
    </row>
    <row r="492" spans="1:9" ht="12.2" customHeight="1">
      <c r="A492" s="47"/>
      <c r="B492" s="55"/>
      <c r="C492" s="55"/>
      <c r="D492" s="180" t="s">
        <v>1835</v>
      </c>
      <c r="E492" s="181"/>
      <c r="F492" s="180"/>
      <c r="G492" s="92">
        <v>0</v>
      </c>
      <c r="H492" s="73"/>
      <c r="I492" s="19"/>
    </row>
    <row r="493" spans="1:9" ht="12.2" customHeight="1">
      <c r="A493" s="47" t="s">
        <v>366</v>
      </c>
      <c r="B493" s="55" t="s">
        <v>59</v>
      </c>
      <c r="C493" s="55" t="s">
        <v>770</v>
      </c>
      <c r="D493" s="180" t="s">
        <v>2049</v>
      </c>
      <c r="E493" s="181"/>
      <c r="F493" s="180"/>
      <c r="G493" s="92">
        <v>0</v>
      </c>
      <c r="H493" s="96">
        <v>0</v>
      </c>
      <c r="I493" s="19"/>
    </row>
    <row r="494" spans="1:9">
      <c r="A494" s="47" t="s">
        <v>367</v>
      </c>
      <c r="B494" s="55" t="s">
        <v>59</v>
      </c>
      <c r="C494" s="55" t="s">
        <v>771</v>
      </c>
      <c r="D494" s="165" t="s">
        <v>1173</v>
      </c>
      <c r="E494" s="166"/>
      <c r="F494" s="55" t="s">
        <v>1634</v>
      </c>
      <c r="G494" s="64">
        <v>5.8369999999999998E-2</v>
      </c>
      <c r="H494" s="96">
        <v>0</v>
      </c>
      <c r="I494" s="19"/>
    </row>
    <row r="495" spans="1:9">
      <c r="A495" s="47" t="s">
        <v>368</v>
      </c>
      <c r="B495" s="55" t="s">
        <v>61</v>
      </c>
      <c r="C495" s="55" t="s">
        <v>838</v>
      </c>
      <c r="D495" s="165" t="s">
        <v>1244</v>
      </c>
      <c r="E495" s="166"/>
      <c r="F495" s="55" t="s">
        <v>1631</v>
      </c>
      <c r="G495" s="64">
        <v>4</v>
      </c>
      <c r="H495" s="96">
        <v>0</v>
      </c>
      <c r="I495" s="19"/>
    </row>
    <row r="496" spans="1:9" ht="12.2" customHeight="1">
      <c r="A496" s="47" t="s">
        <v>369</v>
      </c>
      <c r="B496" s="55" t="s">
        <v>61</v>
      </c>
      <c r="C496" s="55" t="s">
        <v>839</v>
      </c>
      <c r="D496" s="180" t="s">
        <v>2050</v>
      </c>
      <c r="E496" s="181"/>
      <c r="F496" s="180"/>
      <c r="G496" s="92">
        <v>0</v>
      </c>
      <c r="H496" s="96">
        <v>0</v>
      </c>
      <c r="I496" s="19"/>
    </row>
    <row r="497" spans="1:9">
      <c r="A497" s="48" t="s">
        <v>370</v>
      </c>
      <c r="B497" s="56" t="s">
        <v>61</v>
      </c>
      <c r="C497" s="56" t="s">
        <v>840</v>
      </c>
      <c r="D497" s="170" t="s">
        <v>1246</v>
      </c>
      <c r="E497" s="171"/>
      <c r="F497" s="56" t="s">
        <v>1636</v>
      </c>
      <c r="G497" s="65">
        <v>4</v>
      </c>
      <c r="H497" s="97">
        <v>0</v>
      </c>
      <c r="I497" s="19"/>
    </row>
    <row r="498" spans="1:9">
      <c r="A498" s="47" t="s">
        <v>371</v>
      </c>
      <c r="B498" s="55" t="s">
        <v>61</v>
      </c>
      <c r="C498" s="55" t="s">
        <v>841</v>
      </c>
      <c r="D498" s="165" t="s">
        <v>1247</v>
      </c>
      <c r="E498" s="166"/>
      <c r="F498" s="55" t="s">
        <v>1631</v>
      </c>
      <c r="G498" s="64">
        <v>4</v>
      </c>
      <c r="H498" s="96">
        <v>0</v>
      </c>
      <c r="I498" s="19"/>
    </row>
    <row r="499" spans="1:9">
      <c r="A499" s="48" t="s">
        <v>372</v>
      </c>
      <c r="B499" s="56" t="s">
        <v>61</v>
      </c>
      <c r="C499" s="56" t="s">
        <v>842</v>
      </c>
      <c r="D499" s="170" t="s">
        <v>1248</v>
      </c>
      <c r="E499" s="171"/>
      <c r="F499" s="56" t="s">
        <v>1636</v>
      </c>
      <c r="G499" s="65">
        <v>4</v>
      </c>
      <c r="H499" s="97">
        <v>0</v>
      </c>
      <c r="I499" s="19"/>
    </row>
    <row r="500" spans="1:9">
      <c r="A500" s="48" t="s">
        <v>373</v>
      </c>
      <c r="B500" s="56" t="s">
        <v>61</v>
      </c>
      <c r="C500" s="56" t="s">
        <v>843</v>
      </c>
      <c r="D500" s="170" t="s">
        <v>1249</v>
      </c>
      <c r="E500" s="171"/>
      <c r="F500" s="56" t="s">
        <v>1636</v>
      </c>
      <c r="G500" s="65">
        <v>4</v>
      </c>
      <c r="H500" s="97">
        <v>0</v>
      </c>
      <c r="I500" s="19"/>
    </row>
    <row r="501" spans="1:9">
      <c r="A501" s="48" t="s">
        <v>374</v>
      </c>
      <c r="B501" s="56" t="s">
        <v>61</v>
      </c>
      <c r="C501" s="56" t="s">
        <v>844</v>
      </c>
      <c r="D501" s="170" t="s">
        <v>1250</v>
      </c>
      <c r="E501" s="171"/>
      <c r="F501" s="56" t="s">
        <v>1636</v>
      </c>
      <c r="G501" s="65">
        <v>4</v>
      </c>
      <c r="H501" s="97">
        <v>0</v>
      </c>
      <c r="I501" s="19"/>
    </row>
    <row r="502" spans="1:9">
      <c r="A502" s="48" t="s">
        <v>375</v>
      </c>
      <c r="B502" s="56" t="s">
        <v>61</v>
      </c>
      <c r="C502" s="56" t="s">
        <v>845</v>
      </c>
      <c r="D502" s="170" t="s">
        <v>1251</v>
      </c>
      <c r="E502" s="171"/>
      <c r="F502" s="56" t="s">
        <v>1636</v>
      </c>
      <c r="G502" s="65">
        <v>4</v>
      </c>
      <c r="H502" s="97">
        <v>0</v>
      </c>
      <c r="I502" s="19"/>
    </row>
    <row r="503" spans="1:9">
      <c r="A503" s="47" t="s">
        <v>376</v>
      </c>
      <c r="B503" s="55" t="s">
        <v>61</v>
      </c>
      <c r="C503" s="55" t="s">
        <v>771</v>
      </c>
      <c r="D503" s="165" t="s">
        <v>1173</v>
      </c>
      <c r="E503" s="166"/>
      <c r="F503" s="55" t="s">
        <v>1634</v>
      </c>
      <c r="G503" s="64">
        <v>0.86124000000000001</v>
      </c>
      <c r="H503" s="96">
        <v>0</v>
      </c>
      <c r="I503" s="19"/>
    </row>
    <row r="504" spans="1:9">
      <c r="A504" s="87"/>
      <c r="B504" s="54"/>
      <c r="C504" s="54" t="s">
        <v>137</v>
      </c>
      <c r="D504" s="163" t="s">
        <v>188</v>
      </c>
      <c r="E504" s="164"/>
      <c r="F504" s="54"/>
      <c r="G504" s="77"/>
      <c r="H504" s="72"/>
      <c r="I504" s="19"/>
    </row>
    <row r="505" spans="1:9">
      <c r="A505" s="47" t="s">
        <v>377</v>
      </c>
      <c r="B505" s="55" t="s">
        <v>59</v>
      </c>
      <c r="C505" s="55" t="s">
        <v>772</v>
      </c>
      <c r="D505" s="165" t="s">
        <v>1174</v>
      </c>
      <c r="E505" s="166"/>
      <c r="F505" s="55" t="s">
        <v>1633</v>
      </c>
      <c r="G505" s="64">
        <v>23.6</v>
      </c>
      <c r="H505" s="96">
        <v>0</v>
      </c>
      <c r="I505" s="19"/>
    </row>
    <row r="506" spans="1:9" ht="12.2" customHeight="1">
      <c r="A506" s="19"/>
      <c r="D506" s="180" t="s">
        <v>2051</v>
      </c>
      <c r="E506" s="181"/>
      <c r="F506" s="181"/>
      <c r="G506" s="92">
        <v>0</v>
      </c>
      <c r="H506" s="16"/>
      <c r="I506" s="19"/>
    </row>
    <row r="507" spans="1:9" ht="12.2" customHeight="1">
      <c r="A507" s="47"/>
      <c r="B507" s="55"/>
      <c r="C507" s="55"/>
      <c r="D507" s="180" t="s">
        <v>2052</v>
      </c>
      <c r="E507" s="181"/>
      <c r="F507" s="180"/>
      <c r="G507" s="92">
        <v>0</v>
      </c>
      <c r="H507" s="73"/>
      <c r="I507" s="19"/>
    </row>
    <row r="508" spans="1:9" ht="12.2" customHeight="1">
      <c r="A508" s="47"/>
      <c r="B508" s="55"/>
      <c r="C508" s="55"/>
      <c r="D508" s="180" t="s">
        <v>2053</v>
      </c>
      <c r="E508" s="181"/>
      <c r="F508" s="180"/>
      <c r="G508" s="92">
        <v>0</v>
      </c>
      <c r="H508" s="73"/>
      <c r="I508" s="19"/>
    </row>
    <row r="509" spans="1:9">
      <c r="A509" s="48" t="s">
        <v>378</v>
      </c>
      <c r="B509" s="56" t="s">
        <v>59</v>
      </c>
      <c r="C509" s="56" t="s">
        <v>773</v>
      </c>
      <c r="D509" s="170" t="s">
        <v>1175</v>
      </c>
      <c r="E509" s="171"/>
      <c r="F509" s="56" t="s">
        <v>1631</v>
      </c>
      <c r="G509" s="65">
        <v>4.72</v>
      </c>
      <c r="H509" s="97">
        <v>0</v>
      </c>
      <c r="I509" s="19"/>
    </row>
    <row r="510" spans="1:9" ht="12.2" customHeight="1">
      <c r="A510" s="19"/>
      <c r="D510" s="182" t="s">
        <v>2054</v>
      </c>
      <c r="E510" s="183"/>
      <c r="F510" s="183"/>
      <c r="G510" s="93">
        <v>0</v>
      </c>
      <c r="H510" s="16"/>
      <c r="I510" s="19"/>
    </row>
    <row r="511" spans="1:9" ht="12.2" customHeight="1">
      <c r="A511" s="48"/>
      <c r="B511" s="56"/>
      <c r="C511" s="56"/>
      <c r="D511" s="182" t="s">
        <v>2055</v>
      </c>
      <c r="E511" s="183"/>
      <c r="F511" s="182"/>
      <c r="G511" s="93">
        <v>0</v>
      </c>
      <c r="H511" s="74"/>
      <c r="I511" s="19"/>
    </row>
    <row r="512" spans="1:9" ht="12.2" customHeight="1">
      <c r="A512" s="48"/>
      <c r="B512" s="56"/>
      <c r="C512" s="56"/>
      <c r="D512" s="182" t="s">
        <v>2056</v>
      </c>
      <c r="E512" s="183"/>
      <c r="F512" s="182"/>
      <c r="G512" s="93">
        <v>0</v>
      </c>
      <c r="H512" s="74"/>
      <c r="I512" s="19"/>
    </row>
    <row r="513" spans="1:9" ht="12.2" customHeight="1">
      <c r="A513" s="48"/>
      <c r="B513" s="56"/>
      <c r="C513" s="56"/>
      <c r="D513" s="182" t="s">
        <v>2057</v>
      </c>
      <c r="E513" s="183"/>
      <c r="F513" s="182"/>
      <c r="G513" s="93">
        <v>0</v>
      </c>
      <c r="H513" s="74"/>
      <c r="I513" s="19"/>
    </row>
    <row r="514" spans="1:9">
      <c r="A514" s="47" t="s">
        <v>379</v>
      </c>
      <c r="B514" s="55" t="s">
        <v>59</v>
      </c>
      <c r="C514" s="55" t="s">
        <v>774</v>
      </c>
      <c r="D514" s="165" t="s">
        <v>1176</v>
      </c>
      <c r="E514" s="166"/>
      <c r="F514" s="55" t="s">
        <v>1633</v>
      </c>
      <c r="G514" s="64">
        <v>23.6</v>
      </c>
      <c r="H514" s="96">
        <v>0</v>
      </c>
      <c r="I514" s="19"/>
    </row>
    <row r="515" spans="1:9" ht="12.2" customHeight="1">
      <c r="A515" s="19"/>
      <c r="D515" s="180" t="s">
        <v>2051</v>
      </c>
      <c r="E515" s="181"/>
      <c r="F515" s="181"/>
      <c r="G515" s="92">
        <v>0</v>
      </c>
      <c r="H515" s="16"/>
      <c r="I515" s="19"/>
    </row>
    <row r="516" spans="1:9" ht="12.2" customHeight="1">
      <c r="A516" s="47"/>
      <c r="B516" s="55"/>
      <c r="C516" s="55"/>
      <c r="D516" s="180" t="s">
        <v>2052</v>
      </c>
      <c r="E516" s="181"/>
      <c r="F516" s="180"/>
      <c r="G516" s="92">
        <v>0</v>
      </c>
      <c r="H516" s="73"/>
      <c r="I516" s="19"/>
    </row>
    <row r="517" spans="1:9" ht="12.2" customHeight="1">
      <c r="A517" s="47"/>
      <c r="B517" s="55"/>
      <c r="C517" s="55"/>
      <c r="D517" s="180" t="s">
        <v>2053</v>
      </c>
      <c r="E517" s="181"/>
      <c r="F517" s="180"/>
      <c r="G517" s="92">
        <v>0</v>
      </c>
      <c r="H517" s="73"/>
      <c r="I517" s="19"/>
    </row>
    <row r="518" spans="1:9">
      <c r="A518" s="48" t="s">
        <v>380</v>
      </c>
      <c r="B518" s="56" t="s">
        <v>59</v>
      </c>
      <c r="C518" s="56" t="s">
        <v>775</v>
      </c>
      <c r="D518" s="170" t="s">
        <v>1177</v>
      </c>
      <c r="E518" s="171"/>
      <c r="F518" s="56" t="s">
        <v>1632</v>
      </c>
      <c r="G518" s="65">
        <v>2.5960000000000001</v>
      </c>
      <c r="H518" s="97">
        <v>0</v>
      </c>
      <c r="I518" s="19"/>
    </row>
    <row r="519" spans="1:9" ht="12.2" customHeight="1">
      <c r="A519" s="19"/>
      <c r="D519" s="182" t="s">
        <v>2058</v>
      </c>
      <c r="E519" s="183"/>
      <c r="F519" s="183"/>
      <c r="G519" s="93">
        <v>0</v>
      </c>
      <c r="H519" s="16"/>
      <c r="I519" s="19"/>
    </row>
    <row r="520" spans="1:9" ht="12.2" customHeight="1">
      <c r="A520" s="48"/>
      <c r="B520" s="56"/>
      <c r="C520" s="56"/>
      <c r="D520" s="182" t="s">
        <v>2059</v>
      </c>
      <c r="E520" s="183"/>
      <c r="F520" s="182"/>
      <c r="G520" s="93">
        <v>0</v>
      </c>
      <c r="H520" s="74"/>
      <c r="I520" s="19"/>
    </row>
    <row r="521" spans="1:9" ht="12.2" customHeight="1">
      <c r="A521" s="48"/>
      <c r="B521" s="56"/>
      <c r="C521" s="56"/>
      <c r="D521" s="182" t="s">
        <v>2060</v>
      </c>
      <c r="E521" s="183"/>
      <c r="F521" s="182"/>
      <c r="G521" s="93">
        <v>0</v>
      </c>
      <c r="H521" s="74"/>
      <c r="I521" s="19"/>
    </row>
    <row r="522" spans="1:9" ht="12.2" customHeight="1">
      <c r="A522" s="48"/>
      <c r="B522" s="56"/>
      <c r="C522" s="56"/>
      <c r="D522" s="182" t="s">
        <v>2061</v>
      </c>
      <c r="E522" s="183"/>
      <c r="F522" s="182"/>
      <c r="G522" s="93">
        <v>0</v>
      </c>
      <c r="H522" s="74"/>
      <c r="I522" s="19"/>
    </row>
    <row r="523" spans="1:9">
      <c r="A523" s="47" t="s">
        <v>381</v>
      </c>
      <c r="B523" s="55" t="s">
        <v>59</v>
      </c>
      <c r="C523" s="55" t="s">
        <v>776</v>
      </c>
      <c r="D523" s="165" t="s">
        <v>1178</v>
      </c>
      <c r="E523" s="166"/>
      <c r="F523" s="55" t="s">
        <v>1633</v>
      </c>
      <c r="G523" s="64">
        <v>15.73334</v>
      </c>
      <c r="H523" s="96">
        <v>0</v>
      </c>
      <c r="I523" s="19"/>
    </row>
    <row r="524" spans="1:9" ht="12.2" customHeight="1">
      <c r="A524" s="19"/>
      <c r="D524" s="180" t="s">
        <v>2062</v>
      </c>
      <c r="E524" s="181"/>
      <c r="F524" s="181"/>
      <c r="G524" s="92">
        <v>0</v>
      </c>
      <c r="H524" s="16"/>
      <c r="I524" s="19"/>
    </row>
    <row r="525" spans="1:9" ht="12.2" customHeight="1">
      <c r="A525" s="47"/>
      <c r="B525" s="55"/>
      <c r="C525" s="55"/>
      <c r="D525" s="180" t="s">
        <v>2063</v>
      </c>
      <c r="E525" s="181"/>
      <c r="F525" s="180"/>
      <c r="G525" s="92">
        <v>0</v>
      </c>
      <c r="H525" s="73"/>
      <c r="I525" s="19"/>
    </row>
    <row r="526" spans="1:9" ht="12.2" customHeight="1">
      <c r="A526" s="47"/>
      <c r="B526" s="55"/>
      <c r="C526" s="55"/>
      <c r="D526" s="180" t="s">
        <v>2064</v>
      </c>
      <c r="E526" s="181"/>
      <c r="F526" s="180"/>
      <c r="G526" s="92">
        <v>0</v>
      </c>
      <c r="H526" s="73"/>
      <c r="I526" s="19"/>
    </row>
    <row r="527" spans="1:9">
      <c r="A527" s="47" t="s">
        <v>382</v>
      </c>
      <c r="B527" s="55" t="s">
        <v>59</v>
      </c>
      <c r="C527" s="55" t="s">
        <v>777</v>
      </c>
      <c r="D527" s="165" t="s">
        <v>1179</v>
      </c>
      <c r="E527" s="166"/>
      <c r="F527" s="55" t="s">
        <v>1634</v>
      </c>
      <c r="G527" s="64">
        <v>5.9569999999999998E-2</v>
      </c>
      <c r="H527" s="96">
        <v>0</v>
      </c>
      <c r="I527" s="19"/>
    </row>
    <row r="528" spans="1:9" ht="12.2" customHeight="1">
      <c r="A528" s="47" t="s">
        <v>383</v>
      </c>
      <c r="B528" s="55" t="s">
        <v>69</v>
      </c>
      <c r="C528" s="55" t="s">
        <v>772</v>
      </c>
      <c r="D528" s="180" t="s">
        <v>2065</v>
      </c>
      <c r="E528" s="181"/>
      <c r="F528" s="180"/>
      <c r="G528" s="92">
        <v>0</v>
      </c>
      <c r="H528" s="96">
        <v>0</v>
      </c>
      <c r="I528" s="19"/>
    </row>
    <row r="529" spans="1:9">
      <c r="A529" s="48" t="s">
        <v>384</v>
      </c>
      <c r="B529" s="56" t="s">
        <v>69</v>
      </c>
      <c r="C529" s="56" t="s">
        <v>773</v>
      </c>
      <c r="D529" s="170" t="s">
        <v>1175</v>
      </c>
      <c r="E529" s="171"/>
      <c r="F529" s="56" t="s">
        <v>1631</v>
      </c>
      <c r="G529" s="65">
        <v>1.88</v>
      </c>
      <c r="H529" s="97">
        <v>0</v>
      </c>
      <c r="I529" s="19"/>
    </row>
    <row r="530" spans="1:9" ht="12.2" customHeight="1">
      <c r="A530" s="19"/>
      <c r="D530" s="182" t="s">
        <v>2054</v>
      </c>
      <c r="E530" s="183"/>
      <c r="F530" s="183"/>
      <c r="G530" s="93">
        <v>0</v>
      </c>
      <c r="H530" s="16"/>
      <c r="I530" s="19"/>
    </row>
    <row r="531" spans="1:9" ht="12.2" customHeight="1">
      <c r="A531" s="48"/>
      <c r="B531" s="56"/>
      <c r="C531" s="56"/>
      <c r="D531" s="182" t="s">
        <v>2066</v>
      </c>
      <c r="E531" s="183"/>
      <c r="F531" s="182"/>
      <c r="G531" s="93">
        <v>0</v>
      </c>
      <c r="H531" s="74"/>
      <c r="I531" s="19"/>
    </row>
    <row r="532" spans="1:9" ht="12.2" customHeight="1">
      <c r="A532" s="47" t="s">
        <v>385</v>
      </c>
      <c r="B532" s="55" t="s">
        <v>69</v>
      </c>
      <c r="C532" s="55" t="s">
        <v>996</v>
      </c>
      <c r="D532" s="180" t="s">
        <v>2067</v>
      </c>
      <c r="E532" s="181"/>
      <c r="F532" s="180"/>
      <c r="G532" s="92">
        <v>0</v>
      </c>
      <c r="H532" s="96">
        <v>0</v>
      </c>
      <c r="I532" s="19"/>
    </row>
    <row r="533" spans="1:9">
      <c r="A533" s="48" t="s">
        <v>386</v>
      </c>
      <c r="B533" s="56" t="s">
        <v>69</v>
      </c>
      <c r="C533" s="56" t="s">
        <v>775</v>
      </c>
      <c r="D533" s="170" t="s">
        <v>1177</v>
      </c>
      <c r="E533" s="171"/>
      <c r="F533" s="56" t="s">
        <v>1632</v>
      </c>
      <c r="G533" s="65">
        <v>3.4188000000000001</v>
      </c>
      <c r="H533" s="97">
        <v>0</v>
      </c>
      <c r="I533" s="19"/>
    </row>
    <row r="534" spans="1:9" ht="12.2" customHeight="1">
      <c r="A534" s="19"/>
      <c r="D534" s="182" t="s">
        <v>2068</v>
      </c>
      <c r="E534" s="183"/>
      <c r="F534" s="183"/>
      <c r="G534" s="93">
        <v>0</v>
      </c>
      <c r="H534" s="16"/>
      <c r="I534" s="19"/>
    </row>
    <row r="535" spans="1:9" ht="12.2" customHeight="1">
      <c r="A535" s="48"/>
      <c r="B535" s="56"/>
      <c r="C535" s="56"/>
      <c r="D535" s="182" t="s">
        <v>2069</v>
      </c>
      <c r="E535" s="183"/>
      <c r="F535" s="182"/>
      <c r="G535" s="93">
        <v>0</v>
      </c>
      <c r="H535" s="74"/>
      <c r="I535" s="19"/>
    </row>
    <row r="536" spans="1:9" ht="12.2" customHeight="1">
      <c r="A536" s="47" t="s">
        <v>387</v>
      </c>
      <c r="B536" s="55" t="s">
        <v>69</v>
      </c>
      <c r="C536" s="55" t="s">
        <v>997</v>
      </c>
      <c r="D536" s="180" t="s">
        <v>2067</v>
      </c>
      <c r="E536" s="181"/>
      <c r="F536" s="180"/>
      <c r="G536" s="92">
        <v>0</v>
      </c>
      <c r="H536" s="96">
        <v>0</v>
      </c>
      <c r="I536" s="19"/>
    </row>
    <row r="537" spans="1:9" ht="12.2" customHeight="1">
      <c r="A537" s="47"/>
      <c r="B537" s="55"/>
      <c r="C537" s="55"/>
      <c r="D537" s="180" t="s">
        <v>2070</v>
      </c>
      <c r="E537" s="181"/>
      <c r="F537" s="180"/>
      <c r="G537" s="92">
        <v>0</v>
      </c>
      <c r="H537" s="73"/>
      <c r="I537" s="19"/>
    </row>
    <row r="538" spans="1:9">
      <c r="A538" s="48" t="s">
        <v>388</v>
      </c>
      <c r="B538" s="56" t="s">
        <v>69</v>
      </c>
      <c r="C538" s="56" t="s">
        <v>775</v>
      </c>
      <c r="D538" s="170" t="s">
        <v>1177</v>
      </c>
      <c r="E538" s="171"/>
      <c r="F538" s="56" t="s">
        <v>1632</v>
      </c>
      <c r="G538" s="65">
        <v>2.9897999999999998</v>
      </c>
      <c r="H538" s="97">
        <v>0</v>
      </c>
      <c r="I538" s="19"/>
    </row>
    <row r="539" spans="1:9" ht="12.2" customHeight="1">
      <c r="A539" s="19"/>
      <c r="D539" s="182" t="s">
        <v>2071</v>
      </c>
      <c r="E539" s="183"/>
      <c r="F539" s="183"/>
      <c r="G539" s="93">
        <v>0</v>
      </c>
      <c r="H539" s="16"/>
      <c r="I539" s="19"/>
    </row>
    <row r="540" spans="1:9" ht="12.2" customHeight="1">
      <c r="A540" s="48"/>
      <c r="B540" s="56"/>
      <c r="C540" s="56"/>
      <c r="D540" s="182" t="s">
        <v>2072</v>
      </c>
      <c r="E540" s="183"/>
      <c r="F540" s="182"/>
      <c r="G540" s="93">
        <v>0</v>
      </c>
      <c r="H540" s="74"/>
      <c r="I540" s="19"/>
    </row>
    <row r="541" spans="1:9" ht="12.2" customHeight="1">
      <c r="A541" s="48"/>
      <c r="B541" s="56"/>
      <c r="C541" s="56"/>
      <c r="D541" s="182" t="s">
        <v>2073</v>
      </c>
      <c r="E541" s="183"/>
      <c r="F541" s="182"/>
      <c r="G541" s="93">
        <v>0</v>
      </c>
      <c r="H541" s="74"/>
      <c r="I541" s="19"/>
    </row>
    <row r="542" spans="1:9" ht="12.2" customHeight="1">
      <c r="A542" s="47" t="s">
        <v>389</v>
      </c>
      <c r="B542" s="55" t="s">
        <v>69</v>
      </c>
      <c r="C542" s="55" t="s">
        <v>774</v>
      </c>
      <c r="D542" s="180" t="s">
        <v>2074</v>
      </c>
      <c r="E542" s="181"/>
      <c r="F542" s="180"/>
      <c r="G542" s="92">
        <v>0</v>
      </c>
      <c r="H542" s="96">
        <v>0</v>
      </c>
      <c r="I542" s="19"/>
    </row>
    <row r="543" spans="1:9">
      <c r="A543" s="48" t="s">
        <v>390</v>
      </c>
      <c r="B543" s="56" t="s">
        <v>69</v>
      </c>
      <c r="C543" s="56" t="s">
        <v>775</v>
      </c>
      <c r="D543" s="170" t="s">
        <v>1177</v>
      </c>
      <c r="E543" s="171"/>
      <c r="F543" s="56" t="s">
        <v>1632</v>
      </c>
      <c r="G543" s="65">
        <v>1.034</v>
      </c>
      <c r="H543" s="97">
        <v>0</v>
      </c>
      <c r="I543" s="19"/>
    </row>
    <row r="544" spans="1:9" ht="12.2" customHeight="1">
      <c r="A544" s="19"/>
      <c r="D544" s="182" t="s">
        <v>2075</v>
      </c>
      <c r="E544" s="183"/>
      <c r="F544" s="183"/>
      <c r="G544" s="93">
        <v>0</v>
      </c>
      <c r="H544" s="16"/>
      <c r="I544" s="19"/>
    </row>
    <row r="545" spans="1:9" ht="12.2" customHeight="1">
      <c r="A545" s="48"/>
      <c r="B545" s="56"/>
      <c r="C545" s="56"/>
      <c r="D545" s="182" t="s">
        <v>2076</v>
      </c>
      <c r="E545" s="183"/>
      <c r="F545" s="182"/>
      <c r="G545" s="93">
        <v>0</v>
      </c>
      <c r="H545" s="74"/>
      <c r="I545" s="19"/>
    </row>
    <row r="546" spans="1:9">
      <c r="A546" s="47" t="s">
        <v>391</v>
      </c>
      <c r="B546" s="55" t="s">
        <v>69</v>
      </c>
      <c r="C546" s="55" t="s">
        <v>776</v>
      </c>
      <c r="D546" s="165" t="s">
        <v>1178</v>
      </c>
      <c r="E546" s="166"/>
      <c r="F546" s="55" t="s">
        <v>1633</v>
      </c>
      <c r="G546" s="64">
        <v>15.32667</v>
      </c>
      <c r="H546" s="96">
        <v>0</v>
      </c>
      <c r="I546" s="19"/>
    </row>
    <row r="547" spans="1:9" ht="12.2" customHeight="1">
      <c r="A547" s="19"/>
      <c r="D547" s="180" t="s">
        <v>2077</v>
      </c>
      <c r="E547" s="181"/>
      <c r="F547" s="181"/>
      <c r="G547" s="92">
        <v>0</v>
      </c>
      <c r="H547" s="16"/>
      <c r="I547" s="19"/>
    </row>
    <row r="548" spans="1:9" ht="12.2" customHeight="1">
      <c r="A548" s="47"/>
      <c r="B548" s="55"/>
      <c r="C548" s="55"/>
      <c r="D548" s="180" t="s">
        <v>2078</v>
      </c>
      <c r="E548" s="181"/>
      <c r="F548" s="180"/>
      <c r="G548" s="92">
        <v>0</v>
      </c>
      <c r="H548" s="73"/>
      <c r="I548" s="19"/>
    </row>
    <row r="549" spans="1:9" ht="12.2" customHeight="1">
      <c r="A549" s="47"/>
      <c r="B549" s="55"/>
      <c r="C549" s="55"/>
      <c r="D549" s="180" t="s">
        <v>2079</v>
      </c>
      <c r="E549" s="181"/>
      <c r="F549" s="180"/>
      <c r="G549" s="92">
        <v>0</v>
      </c>
      <c r="H549" s="73"/>
      <c r="I549" s="19"/>
    </row>
    <row r="550" spans="1:9" ht="12.2" customHeight="1">
      <c r="A550" s="47" t="s">
        <v>392</v>
      </c>
      <c r="B550" s="55" t="s">
        <v>69</v>
      </c>
      <c r="C550" s="55" t="s">
        <v>998</v>
      </c>
      <c r="D550" s="180" t="s">
        <v>2067</v>
      </c>
      <c r="E550" s="181"/>
      <c r="F550" s="180"/>
      <c r="G550" s="92">
        <v>0</v>
      </c>
      <c r="H550" s="96">
        <v>0</v>
      </c>
      <c r="I550" s="19"/>
    </row>
    <row r="551" spans="1:9" ht="12.2" customHeight="1">
      <c r="A551" s="47"/>
      <c r="B551" s="55"/>
      <c r="C551" s="55"/>
      <c r="D551" s="180" t="s">
        <v>2070</v>
      </c>
      <c r="E551" s="181"/>
      <c r="F551" s="180"/>
      <c r="G551" s="92">
        <v>0</v>
      </c>
      <c r="H551" s="73"/>
      <c r="I551" s="19"/>
    </row>
    <row r="552" spans="1:9" ht="12.2" customHeight="1">
      <c r="A552" s="47" t="s">
        <v>393</v>
      </c>
      <c r="B552" s="55" t="s">
        <v>69</v>
      </c>
      <c r="C552" s="55" t="s">
        <v>999</v>
      </c>
      <c r="D552" s="180" t="s">
        <v>2080</v>
      </c>
      <c r="E552" s="181"/>
      <c r="F552" s="180"/>
      <c r="G552" s="92">
        <v>0</v>
      </c>
      <c r="H552" s="96">
        <v>0</v>
      </c>
      <c r="I552" s="19"/>
    </row>
    <row r="553" spans="1:9" ht="12.2" customHeight="1">
      <c r="A553" s="47"/>
      <c r="B553" s="55"/>
      <c r="C553" s="55"/>
      <c r="D553" s="180" t="s">
        <v>2081</v>
      </c>
      <c r="E553" s="181"/>
      <c r="F553" s="180"/>
      <c r="G553" s="92">
        <v>0</v>
      </c>
      <c r="H553" s="73"/>
      <c r="I553" s="19"/>
    </row>
    <row r="554" spans="1:9" ht="12.2" customHeight="1">
      <c r="A554" s="47" t="s">
        <v>394</v>
      </c>
      <c r="B554" s="55" t="s">
        <v>69</v>
      </c>
      <c r="C554" s="55" t="s">
        <v>1000</v>
      </c>
      <c r="D554" s="180" t="s">
        <v>2082</v>
      </c>
      <c r="E554" s="181"/>
      <c r="F554" s="180"/>
      <c r="G554" s="92">
        <v>0</v>
      </c>
      <c r="H554" s="96">
        <v>0</v>
      </c>
      <c r="I554" s="19"/>
    </row>
    <row r="555" spans="1:9">
      <c r="A555" s="48" t="s">
        <v>395</v>
      </c>
      <c r="B555" s="56" t="s">
        <v>69</v>
      </c>
      <c r="C555" s="56" t="s">
        <v>775</v>
      </c>
      <c r="D555" s="170" t="s">
        <v>1177</v>
      </c>
      <c r="E555" s="171"/>
      <c r="F555" s="56" t="s">
        <v>1632</v>
      </c>
      <c r="G555" s="65">
        <v>5.3064</v>
      </c>
      <c r="H555" s="97">
        <v>0</v>
      </c>
      <c r="I555" s="19"/>
    </row>
    <row r="556" spans="1:9" ht="12.2" customHeight="1">
      <c r="A556" s="19"/>
      <c r="D556" s="182" t="s">
        <v>2082</v>
      </c>
      <c r="E556" s="183"/>
      <c r="F556" s="183"/>
      <c r="G556" s="93">
        <v>0</v>
      </c>
      <c r="H556" s="16"/>
      <c r="I556" s="19"/>
    </row>
    <row r="557" spans="1:9" ht="12.2" customHeight="1">
      <c r="A557" s="48"/>
      <c r="B557" s="56"/>
      <c r="C557" s="56"/>
      <c r="D557" s="182" t="s">
        <v>2083</v>
      </c>
      <c r="E557" s="183"/>
      <c r="F557" s="182"/>
      <c r="G557" s="93">
        <v>0</v>
      </c>
      <c r="H557" s="74"/>
      <c r="I557" s="19"/>
    </row>
    <row r="558" spans="1:9">
      <c r="A558" s="47" t="s">
        <v>396</v>
      </c>
      <c r="B558" s="55" t="s">
        <v>69</v>
      </c>
      <c r="C558" s="55" t="s">
        <v>777</v>
      </c>
      <c r="D558" s="165" t="s">
        <v>1179</v>
      </c>
      <c r="E558" s="166"/>
      <c r="F558" s="55" t="s">
        <v>1634</v>
      </c>
      <c r="G558" s="64">
        <v>0.35653000000000001</v>
      </c>
      <c r="H558" s="96">
        <v>0</v>
      </c>
      <c r="I558" s="19"/>
    </row>
    <row r="559" spans="1:9">
      <c r="A559" s="87"/>
      <c r="B559" s="54"/>
      <c r="C559" s="54" t="s">
        <v>138</v>
      </c>
      <c r="D559" s="163" t="s">
        <v>189</v>
      </c>
      <c r="E559" s="164"/>
      <c r="F559" s="54"/>
      <c r="G559" s="77"/>
      <c r="H559" s="72"/>
      <c r="I559" s="19"/>
    </row>
    <row r="560" spans="1:9">
      <c r="A560" s="47" t="s">
        <v>397</v>
      </c>
      <c r="B560" s="55" t="s">
        <v>59</v>
      </c>
      <c r="C560" s="55" t="s">
        <v>778</v>
      </c>
      <c r="D560" s="165" t="s">
        <v>1180</v>
      </c>
      <c r="E560" s="166"/>
      <c r="F560" s="55" t="s">
        <v>1632</v>
      </c>
      <c r="G560" s="64">
        <v>39.14</v>
      </c>
      <c r="H560" s="96">
        <v>0</v>
      </c>
      <c r="I560" s="19"/>
    </row>
    <row r="561" spans="1:9" ht="12.2" customHeight="1">
      <c r="A561" s="19"/>
      <c r="D561" s="180" t="s">
        <v>2084</v>
      </c>
      <c r="E561" s="181"/>
      <c r="F561" s="181"/>
      <c r="G561" s="92">
        <v>0</v>
      </c>
      <c r="H561" s="16"/>
      <c r="I561" s="19"/>
    </row>
    <row r="562" spans="1:9" ht="12.2" customHeight="1">
      <c r="A562" s="47"/>
      <c r="B562" s="55"/>
      <c r="C562" s="55"/>
      <c r="D562" s="180" t="s">
        <v>2085</v>
      </c>
      <c r="E562" s="181"/>
      <c r="F562" s="180"/>
      <c r="G562" s="92">
        <v>0</v>
      </c>
      <c r="H562" s="73"/>
      <c r="I562" s="19"/>
    </row>
    <row r="563" spans="1:9" ht="12.2" customHeight="1">
      <c r="A563" s="47"/>
      <c r="B563" s="55"/>
      <c r="C563" s="55"/>
      <c r="D563" s="180" t="s">
        <v>2086</v>
      </c>
      <c r="E563" s="181"/>
      <c r="F563" s="180"/>
      <c r="G563" s="92">
        <v>0</v>
      </c>
      <c r="H563" s="73"/>
      <c r="I563" s="19"/>
    </row>
    <row r="564" spans="1:9" ht="12.2" customHeight="1">
      <c r="A564" s="47"/>
      <c r="B564" s="55"/>
      <c r="C564" s="55"/>
      <c r="D564" s="180" t="s">
        <v>1834</v>
      </c>
      <c r="E564" s="181"/>
      <c r="F564" s="180"/>
      <c r="G564" s="92">
        <v>0</v>
      </c>
      <c r="H564" s="73"/>
      <c r="I564" s="19"/>
    </row>
    <row r="565" spans="1:9" ht="12.2" customHeight="1">
      <c r="A565" s="47"/>
      <c r="B565" s="55"/>
      <c r="C565" s="55"/>
      <c r="D565" s="180" t="s">
        <v>1835</v>
      </c>
      <c r="E565" s="181"/>
      <c r="F565" s="180"/>
      <c r="G565" s="92">
        <v>0</v>
      </c>
      <c r="H565" s="73"/>
      <c r="I565" s="19"/>
    </row>
    <row r="566" spans="1:9" ht="12.2" customHeight="1">
      <c r="A566" s="47"/>
      <c r="B566" s="55"/>
      <c r="C566" s="55"/>
      <c r="D566" s="180" t="s">
        <v>2087</v>
      </c>
      <c r="E566" s="181"/>
      <c r="F566" s="180"/>
      <c r="G566" s="92">
        <v>0</v>
      </c>
      <c r="H566" s="73"/>
      <c r="I566" s="19"/>
    </row>
    <row r="567" spans="1:9">
      <c r="A567" s="47" t="s">
        <v>398</v>
      </c>
      <c r="B567" s="55" t="s">
        <v>70</v>
      </c>
      <c r="C567" s="55" t="s">
        <v>1022</v>
      </c>
      <c r="D567" s="165" t="s">
        <v>1521</v>
      </c>
      <c r="E567" s="166"/>
      <c r="F567" s="55" t="s">
        <v>1632</v>
      </c>
      <c r="G567" s="64">
        <v>1285.7455</v>
      </c>
      <c r="H567" s="96">
        <v>0</v>
      </c>
      <c r="I567" s="19"/>
    </row>
    <row r="568" spans="1:9" ht="12.2" customHeight="1">
      <c r="A568" s="19"/>
      <c r="D568" s="180" t="s">
        <v>2088</v>
      </c>
      <c r="E568" s="181"/>
      <c r="F568" s="181"/>
      <c r="G568" s="92">
        <v>0</v>
      </c>
      <c r="H568" s="16"/>
      <c r="I568" s="19"/>
    </row>
    <row r="569" spans="1:9" ht="12.2" customHeight="1">
      <c r="A569" s="47"/>
      <c r="B569" s="55"/>
      <c r="C569" s="55"/>
      <c r="D569" s="180" t="s">
        <v>2089</v>
      </c>
      <c r="E569" s="181"/>
      <c r="F569" s="180"/>
      <c r="G569" s="92">
        <v>0</v>
      </c>
      <c r="H569" s="73"/>
      <c r="I569" s="19"/>
    </row>
    <row r="570" spans="1:9" ht="12.2" customHeight="1">
      <c r="A570" s="47"/>
      <c r="B570" s="55"/>
      <c r="C570" s="55"/>
      <c r="D570" s="180" t="s">
        <v>2090</v>
      </c>
      <c r="E570" s="181"/>
      <c r="F570" s="180"/>
      <c r="G570" s="92">
        <v>0</v>
      </c>
      <c r="H570" s="73"/>
      <c r="I570" s="19"/>
    </row>
    <row r="571" spans="1:9">
      <c r="A571" s="47" t="s">
        <v>399</v>
      </c>
      <c r="B571" s="55" t="s">
        <v>70</v>
      </c>
      <c r="C571" s="55" t="s">
        <v>1023</v>
      </c>
      <c r="D571" s="165" t="s">
        <v>1523</v>
      </c>
      <c r="E571" s="166"/>
      <c r="F571" s="55" t="s">
        <v>1632</v>
      </c>
      <c r="G571" s="64">
        <v>249.39500000000001</v>
      </c>
      <c r="H571" s="96">
        <v>0</v>
      </c>
      <c r="I571" s="19"/>
    </row>
    <row r="572" spans="1:9" ht="12.2" customHeight="1">
      <c r="A572" s="19"/>
      <c r="D572" s="180" t="s">
        <v>2091</v>
      </c>
      <c r="E572" s="181"/>
      <c r="F572" s="181"/>
      <c r="G572" s="92">
        <v>0</v>
      </c>
      <c r="H572" s="16"/>
      <c r="I572" s="19"/>
    </row>
    <row r="573" spans="1:9" ht="12.2" customHeight="1">
      <c r="A573" s="47"/>
      <c r="B573" s="55"/>
      <c r="C573" s="55"/>
      <c r="D573" s="180" t="s">
        <v>2092</v>
      </c>
      <c r="E573" s="181"/>
      <c r="F573" s="180"/>
      <c r="G573" s="92">
        <v>0</v>
      </c>
      <c r="H573" s="73"/>
      <c r="I573" s="19"/>
    </row>
    <row r="574" spans="1:9" ht="12.2" customHeight="1">
      <c r="A574" s="47"/>
      <c r="B574" s="55"/>
      <c r="C574" s="55"/>
      <c r="D574" s="180" t="s">
        <v>2093</v>
      </c>
      <c r="E574" s="181"/>
      <c r="F574" s="180"/>
      <c r="G574" s="92">
        <v>0</v>
      </c>
      <c r="H574" s="73"/>
      <c r="I574" s="19"/>
    </row>
    <row r="575" spans="1:9" ht="12.2" customHeight="1">
      <c r="A575" s="47"/>
      <c r="B575" s="55"/>
      <c r="C575" s="55"/>
      <c r="D575" s="180" t="s">
        <v>2094</v>
      </c>
      <c r="E575" s="181"/>
      <c r="F575" s="180"/>
      <c r="G575" s="92">
        <v>0</v>
      </c>
      <c r="H575" s="73"/>
      <c r="I575" s="19"/>
    </row>
    <row r="576" spans="1:9" ht="12.2" customHeight="1">
      <c r="A576" s="47"/>
      <c r="B576" s="55"/>
      <c r="C576" s="55"/>
      <c r="D576" s="180" t="s">
        <v>2095</v>
      </c>
      <c r="E576" s="181"/>
      <c r="F576" s="180"/>
      <c r="G576" s="92">
        <v>0</v>
      </c>
      <c r="H576" s="73"/>
      <c r="I576" s="19"/>
    </row>
    <row r="577" spans="1:9" ht="12.2" customHeight="1">
      <c r="A577" s="47"/>
      <c r="B577" s="55"/>
      <c r="C577" s="55"/>
      <c r="D577" s="180" t="s">
        <v>2096</v>
      </c>
      <c r="E577" s="181"/>
      <c r="F577" s="180"/>
      <c r="G577" s="92">
        <v>0</v>
      </c>
      <c r="H577" s="73"/>
      <c r="I577" s="19"/>
    </row>
    <row r="578" spans="1:9">
      <c r="A578" s="47" t="s">
        <v>400</v>
      </c>
      <c r="B578" s="55" t="s">
        <v>70</v>
      </c>
      <c r="C578" s="55" t="s">
        <v>1024</v>
      </c>
      <c r="D578" s="165" t="s">
        <v>1524</v>
      </c>
      <c r="E578" s="166"/>
      <c r="F578" s="55" t="s">
        <v>1632</v>
      </c>
      <c r="G578" s="64">
        <v>249.39500000000001</v>
      </c>
      <c r="H578" s="96">
        <v>0</v>
      </c>
      <c r="I578" s="19"/>
    </row>
    <row r="579" spans="1:9" ht="12.2" customHeight="1">
      <c r="A579" s="19"/>
      <c r="D579" s="180" t="s">
        <v>2091</v>
      </c>
      <c r="E579" s="181"/>
      <c r="F579" s="181"/>
      <c r="G579" s="92">
        <v>0</v>
      </c>
      <c r="H579" s="16"/>
      <c r="I579" s="19"/>
    </row>
    <row r="580" spans="1:9" ht="12.2" customHeight="1">
      <c r="A580" s="47"/>
      <c r="B580" s="55"/>
      <c r="C580" s="55"/>
      <c r="D580" s="180" t="s">
        <v>2092</v>
      </c>
      <c r="E580" s="181"/>
      <c r="F580" s="180"/>
      <c r="G580" s="92">
        <v>0</v>
      </c>
      <c r="H580" s="73"/>
      <c r="I580" s="19"/>
    </row>
    <row r="581" spans="1:9" ht="12.2" customHeight="1">
      <c r="A581" s="47"/>
      <c r="B581" s="55"/>
      <c r="C581" s="55"/>
      <c r="D581" s="180" t="s">
        <v>2093</v>
      </c>
      <c r="E581" s="181"/>
      <c r="F581" s="180"/>
      <c r="G581" s="92">
        <v>0</v>
      </c>
      <c r="H581" s="73"/>
      <c r="I581" s="19"/>
    </row>
    <row r="582" spans="1:9" ht="12.2" customHeight="1">
      <c r="A582" s="47"/>
      <c r="B582" s="55"/>
      <c r="C582" s="55"/>
      <c r="D582" s="180" t="s">
        <v>2094</v>
      </c>
      <c r="E582" s="181"/>
      <c r="F582" s="180"/>
      <c r="G582" s="92">
        <v>0</v>
      </c>
      <c r="H582" s="73"/>
      <c r="I582" s="19"/>
    </row>
    <row r="583" spans="1:9" ht="12.2" customHeight="1">
      <c r="A583" s="47"/>
      <c r="B583" s="55"/>
      <c r="C583" s="55"/>
      <c r="D583" s="180" t="s">
        <v>2095</v>
      </c>
      <c r="E583" s="181"/>
      <c r="F583" s="180"/>
      <c r="G583" s="92">
        <v>0</v>
      </c>
      <c r="H583" s="73"/>
      <c r="I583" s="19"/>
    </row>
    <row r="584" spans="1:9" ht="12.2" customHeight="1">
      <c r="A584" s="47"/>
      <c r="B584" s="55"/>
      <c r="C584" s="55"/>
      <c r="D584" s="180" t="s">
        <v>2096</v>
      </c>
      <c r="E584" s="181"/>
      <c r="F584" s="180"/>
      <c r="G584" s="92">
        <v>0</v>
      </c>
      <c r="H584" s="73"/>
      <c r="I584" s="19"/>
    </row>
    <row r="585" spans="1:9">
      <c r="A585" s="47" t="s">
        <v>401</v>
      </c>
      <c r="B585" s="55" t="s">
        <v>70</v>
      </c>
      <c r="C585" s="55" t="s">
        <v>1025</v>
      </c>
      <c r="D585" s="165" t="s">
        <v>1526</v>
      </c>
      <c r="E585" s="166"/>
      <c r="F585" s="55" t="s">
        <v>1632</v>
      </c>
      <c r="G585" s="64">
        <v>1285.7455</v>
      </c>
      <c r="H585" s="96">
        <v>0</v>
      </c>
      <c r="I585" s="19"/>
    </row>
    <row r="586" spans="1:9" ht="12.2" customHeight="1">
      <c r="A586" s="19"/>
      <c r="D586" s="180" t="s">
        <v>2088</v>
      </c>
      <c r="E586" s="181"/>
      <c r="F586" s="181"/>
      <c r="G586" s="92">
        <v>0</v>
      </c>
      <c r="H586" s="16"/>
      <c r="I586" s="19"/>
    </row>
    <row r="587" spans="1:9" ht="12.2" customHeight="1">
      <c r="A587" s="47"/>
      <c r="B587" s="55"/>
      <c r="C587" s="55"/>
      <c r="D587" s="180" t="s">
        <v>2089</v>
      </c>
      <c r="E587" s="181"/>
      <c r="F587" s="180"/>
      <c r="G587" s="92">
        <v>0</v>
      </c>
      <c r="H587" s="73"/>
      <c r="I587" s="19"/>
    </row>
    <row r="588" spans="1:9" ht="12.2" customHeight="1">
      <c r="A588" s="47"/>
      <c r="B588" s="55"/>
      <c r="C588" s="55"/>
      <c r="D588" s="180" t="s">
        <v>2090</v>
      </c>
      <c r="E588" s="181"/>
      <c r="F588" s="180"/>
      <c r="G588" s="92">
        <v>0</v>
      </c>
      <c r="H588" s="73"/>
      <c r="I588" s="19"/>
    </row>
    <row r="589" spans="1:9">
      <c r="A589" s="47" t="s">
        <v>402</v>
      </c>
      <c r="B589" s="55" t="s">
        <v>70</v>
      </c>
      <c r="C589" s="55" t="s">
        <v>1026</v>
      </c>
      <c r="D589" s="165" t="s">
        <v>1527</v>
      </c>
      <c r="E589" s="166"/>
      <c r="F589" s="55" t="s">
        <v>1632</v>
      </c>
      <c r="G589" s="64">
        <v>1285.7455</v>
      </c>
      <c r="H589" s="96">
        <v>0</v>
      </c>
      <c r="I589" s="19"/>
    </row>
    <row r="590" spans="1:9" ht="12.2" customHeight="1">
      <c r="A590" s="19"/>
      <c r="D590" s="180" t="s">
        <v>2088</v>
      </c>
      <c r="E590" s="181"/>
      <c r="F590" s="181"/>
      <c r="G590" s="92">
        <v>0</v>
      </c>
      <c r="H590" s="16"/>
      <c r="I590" s="19"/>
    </row>
    <row r="591" spans="1:9" ht="12.2" customHeight="1">
      <c r="A591" s="47"/>
      <c r="B591" s="55"/>
      <c r="C591" s="55"/>
      <c r="D591" s="180" t="s">
        <v>2089</v>
      </c>
      <c r="E591" s="181"/>
      <c r="F591" s="180"/>
      <c r="G591" s="92">
        <v>0</v>
      </c>
      <c r="H591" s="73"/>
      <c r="I591" s="19"/>
    </row>
    <row r="592" spans="1:9" ht="12.2" customHeight="1">
      <c r="A592" s="47"/>
      <c r="B592" s="55"/>
      <c r="C592" s="55"/>
      <c r="D592" s="180" t="s">
        <v>2090</v>
      </c>
      <c r="E592" s="181"/>
      <c r="F592" s="180"/>
      <c r="G592" s="92">
        <v>0</v>
      </c>
      <c r="H592" s="73"/>
      <c r="I592" s="19"/>
    </row>
    <row r="593" spans="1:9">
      <c r="A593" s="47" t="s">
        <v>403</v>
      </c>
      <c r="B593" s="55" t="s">
        <v>64</v>
      </c>
      <c r="C593" s="55" t="s">
        <v>931</v>
      </c>
      <c r="D593" s="165" t="s">
        <v>1368</v>
      </c>
      <c r="E593" s="166"/>
      <c r="F593" s="55" t="s">
        <v>1642</v>
      </c>
      <c r="G593" s="64">
        <v>5</v>
      </c>
      <c r="H593" s="96">
        <v>0</v>
      </c>
      <c r="I593" s="19"/>
    </row>
    <row r="594" spans="1:9">
      <c r="A594" s="47" t="s">
        <v>404</v>
      </c>
      <c r="B594" s="55" t="s">
        <v>64</v>
      </c>
      <c r="C594" s="55" t="s">
        <v>932</v>
      </c>
      <c r="D594" s="165" t="s">
        <v>1370</v>
      </c>
      <c r="E594" s="166"/>
      <c r="F594" s="55" t="s">
        <v>1642</v>
      </c>
      <c r="G594" s="64">
        <v>5</v>
      </c>
      <c r="H594" s="96">
        <v>0</v>
      </c>
      <c r="I594" s="19"/>
    </row>
    <row r="595" spans="1:9">
      <c r="A595" s="87"/>
      <c r="B595" s="54"/>
      <c r="C595" s="54" t="s">
        <v>139</v>
      </c>
      <c r="D595" s="163" t="s">
        <v>190</v>
      </c>
      <c r="E595" s="164"/>
      <c r="F595" s="54"/>
      <c r="G595" s="77"/>
      <c r="H595" s="72"/>
      <c r="I595" s="19"/>
    </row>
    <row r="596" spans="1:9" ht="12.2" customHeight="1">
      <c r="A596" s="47" t="s">
        <v>405</v>
      </c>
      <c r="B596" s="55" t="s">
        <v>59</v>
      </c>
      <c r="C596" s="55" t="s">
        <v>779</v>
      </c>
      <c r="D596" s="180" t="s">
        <v>2097</v>
      </c>
      <c r="E596" s="181"/>
      <c r="F596" s="180"/>
      <c r="G596" s="92">
        <v>0</v>
      </c>
      <c r="H596" s="96">
        <v>0</v>
      </c>
      <c r="I596" s="19"/>
    </row>
    <row r="597" spans="1:9">
      <c r="A597" s="48" t="s">
        <v>406</v>
      </c>
      <c r="B597" s="56" t="s">
        <v>59</v>
      </c>
      <c r="C597" s="56" t="s">
        <v>780</v>
      </c>
      <c r="D597" s="170" t="s">
        <v>1182</v>
      </c>
      <c r="E597" s="171"/>
      <c r="F597" s="56" t="s">
        <v>1636</v>
      </c>
      <c r="G597" s="65">
        <v>12</v>
      </c>
      <c r="H597" s="97">
        <v>0</v>
      </c>
      <c r="I597" s="19"/>
    </row>
    <row r="598" spans="1:9" ht="12.2" customHeight="1">
      <c r="A598" s="47" t="s">
        <v>407</v>
      </c>
      <c r="B598" s="55" t="s">
        <v>59</v>
      </c>
      <c r="C598" s="55" t="s">
        <v>781</v>
      </c>
      <c r="D598" s="180" t="s">
        <v>2098</v>
      </c>
      <c r="E598" s="181"/>
      <c r="F598" s="180"/>
      <c r="G598" s="92">
        <v>0</v>
      </c>
      <c r="H598" s="96">
        <v>0</v>
      </c>
      <c r="I598" s="19"/>
    </row>
    <row r="599" spans="1:9">
      <c r="A599" s="48" t="s">
        <v>408</v>
      </c>
      <c r="B599" s="56" t="s">
        <v>59</v>
      </c>
      <c r="C599" s="56" t="s">
        <v>780</v>
      </c>
      <c r="D599" s="170" t="s">
        <v>1182</v>
      </c>
      <c r="E599" s="171"/>
      <c r="F599" s="56" t="s">
        <v>1636</v>
      </c>
      <c r="G599" s="65">
        <v>4</v>
      </c>
      <c r="H599" s="97">
        <v>0</v>
      </c>
      <c r="I599" s="19"/>
    </row>
    <row r="600" spans="1:9" ht="12.2" customHeight="1">
      <c r="A600" s="47" t="s">
        <v>409</v>
      </c>
      <c r="B600" s="55" t="s">
        <v>59</v>
      </c>
      <c r="C600" s="55" t="s">
        <v>782</v>
      </c>
      <c r="D600" s="180" t="s">
        <v>2098</v>
      </c>
      <c r="E600" s="181"/>
      <c r="F600" s="180"/>
      <c r="G600" s="92">
        <v>0</v>
      </c>
      <c r="H600" s="96">
        <v>0</v>
      </c>
      <c r="I600" s="19"/>
    </row>
    <row r="601" spans="1:9">
      <c r="A601" s="48" t="s">
        <v>410</v>
      </c>
      <c r="B601" s="56" t="s">
        <v>59</v>
      </c>
      <c r="C601" s="56" t="s">
        <v>780</v>
      </c>
      <c r="D601" s="170" t="s">
        <v>1182</v>
      </c>
      <c r="E601" s="171"/>
      <c r="F601" s="56" t="s">
        <v>1636</v>
      </c>
      <c r="G601" s="65">
        <v>4</v>
      </c>
      <c r="H601" s="97">
        <v>0</v>
      </c>
      <c r="I601" s="19"/>
    </row>
    <row r="602" spans="1:9">
      <c r="A602" s="47" t="s">
        <v>411</v>
      </c>
      <c r="B602" s="55" t="s">
        <v>59</v>
      </c>
      <c r="C602" s="55" t="s">
        <v>783</v>
      </c>
      <c r="D602" s="165" t="s">
        <v>1185</v>
      </c>
      <c r="E602" s="166"/>
      <c r="F602" s="55" t="s">
        <v>1636</v>
      </c>
      <c r="G602" s="64">
        <v>1</v>
      </c>
      <c r="H602" s="96">
        <v>0</v>
      </c>
      <c r="I602" s="19"/>
    </row>
    <row r="603" spans="1:9">
      <c r="A603" s="48" t="s">
        <v>412</v>
      </c>
      <c r="B603" s="56" t="s">
        <v>59</v>
      </c>
      <c r="C603" s="56" t="s">
        <v>780</v>
      </c>
      <c r="D603" s="170" t="s">
        <v>1182</v>
      </c>
      <c r="E603" s="171"/>
      <c r="F603" s="56" t="s">
        <v>1636</v>
      </c>
      <c r="G603" s="65">
        <v>1</v>
      </c>
      <c r="H603" s="97">
        <v>0</v>
      </c>
      <c r="I603" s="19"/>
    </row>
    <row r="604" spans="1:9">
      <c r="A604" s="47" t="s">
        <v>413</v>
      </c>
      <c r="B604" s="55" t="s">
        <v>59</v>
      </c>
      <c r="C604" s="55" t="s">
        <v>784</v>
      </c>
      <c r="D604" s="165" t="s">
        <v>1186</v>
      </c>
      <c r="E604" s="166"/>
      <c r="F604" s="55" t="s">
        <v>1636</v>
      </c>
      <c r="G604" s="64">
        <v>1</v>
      </c>
      <c r="H604" s="96">
        <v>0</v>
      </c>
      <c r="I604" s="19"/>
    </row>
    <row r="605" spans="1:9">
      <c r="A605" s="48" t="s">
        <v>414</v>
      </c>
      <c r="B605" s="56" t="s">
        <v>59</v>
      </c>
      <c r="C605" s="56" t="s">
        <v>780</v>
      </c>
      <c r="D605" s="170" t="s">
        <v>1182</v>
      </c>
      <c r="E605" s="171"/>
      <c r="F605" s="56" t="s">
        <v>1636</v>
      </c>
      <c r="G605" s="65">
        <v>1</v>
      </c>
      <c r="H605" s="97">
        <v>0</v>
      </c>
      <c r="I605" s="19"/>
    </row>
    <row r="606" spans="1:9">
      <c r="A606" s="47" t="s">
        <v>415</v>
      </c>
      <c r="B606" s="55" t="s">
        <v>59</v>
      </c>
      <c r="C606" s="55" t="s">
        <v>785</v>
      </c>
      <c r="D606" s="165" t="s">
        <v>1187</v>
      </c>
      <c r="E606" s="166"/>
      <c r="F606" s="55" t="s">
        <v>1634</v>
      </c>
      <c r="G606" s="64">
        <v>0.63500000000000001</v>
      </c>
      <c r="H606" s="96">
        <v>0</v>
      </c>
      <c r="I606" s="19"/>
    </row>
    <row r="607" spans="1:9">
      <c r="A607" s="87"/>
      <c r="B607" s="54"/>
      <c r="C607" s="54" t="s">
        <v>140</v>
      </c>
      <c r="D607" s="163" t="s">
        <v>191</v>
      </c>
      <c r="E607" s="164"/>
      <c r="F607" s="54"/>
      <c r="G607" s="77"/>
      <c r="H607" s="72"/>
      <c r="I607" s="19"/>
    </row>
    <row r="608" spans="1:9">
      <c r="A608" s="47" t="s">
        <v>416</v>
      </c>
      <c r="B608" s="55" t="s">
        <v>59</v>
      </c>
      <c r="C608" s="55" t="s">
        <v>786</v>
      </c>
      <c r="D608" s="165" t="s">
        <v>1188</v>
      </c>
      <c r="E608" s="166"/>
      <c r="F608" s="55" t="s">
        <v>1632</v>
      </c>
      <c r="G608" s="64">
        <v>649</v>
      </c>
      <c r="H608" s="96">
        <v>0</v>
      </c>
      <c r="I608" s="19"/>
    </row>
    <row r="609" spans="1:9" ht="12.2" customHeight="1">
      <c r="A609" s="19"/>
      <c r="D609" s="180" t="s">
        <v>2099</v>
      </c>
      <c r="E609" s="181"/>
      <c r="F609" s="181"/>
      <c r="G609" s="92">
        <v>0</v>
      </c>
      <c r="H609" s="16"/>
      <c r="I609" s="19"/>
    </row>
    <row r="610" spans="1:9" ht="12.2" customHeight="1">
      <c r="A610" s="47"/>
      <c r="B610" s="55"/>
      <c r="C610" s="55"/>
      <c r="D610" s="180" t="s">
        <v>2100</v>
      </c>
      <c r="E610" s="181"/>
      <c r="F610" s="180"/>
      <c r="G610" s="92">
        <v>0</v>
      </c>
      <c r="H610" s="73"/>
      <c r="I610" s="19"/>
    </row>
    <row r="611" spans="1:9" ht="12.2" customHeight="1">
      <c r="A611" s="47"/>
      <c r="B611" s="55"/>
      <c r="C611" s="55"/>
      <c r="D611" s="180" t="s">
        <v>2101</v>
      </c>
      <c r="E611" s="181"/>
      <c r="F611" s="180"/>
      <c r="G611" s="92">
        <v>0</v>
      </c>
      <c r="H611" s="73"/>
      <c r="I611" s="19"/>
    </row>
    <row r="612" spans="1:9" ht="12.2" customHeight="1">
      <c r="A612" s="47"/>
      <c r="B612" s="55"/>
      <c r="C612" s="55"/>
      <c r="D612" s="180" t="s">
        <v>2102</v>
      </c>
      <c r="E612" s="181"/>
      <c r="F612" s="180"/>
      <c r="G612" s="92">
        <v>0</v>
      </c>
      <c r="H612" s="73"/>
      <c r="I612" s="19"/>
    </row>
    <row r="613" spans="1:9" ht="12.2" customHeight="1">
      <c r="A613" s="47"/>
      <c r="B613" s="55"/>
      <c r="C613" s="55"/>
      <c r="D613" s="180" t="s">
        <v>2103</v>
      </c>
      <c r="E613" s="181"/>
      <c r="F613" s="180"/>
      <c r="G613" s="92">
        <v>0</v>
      </c>
      <c r="H613" s="73"/>
      <c r="I613" s="19"/>
    </row>
    <row r="614" spans="1:9">
      <c r="A614" s="47" t="s">
        <v>417</v>
      </c>
      <c r="B614" s="55" t="s">
        <v>59</v>
      </c>
      <c r="C614" s="55" t="s">
        <v>787</v>
      </c>
      <c r="D614" s="165" t="s">
        <v>1189</v>
      </c>
      <c r="E614" s="166"/>
      <c r="F614" s="55" t="s">
        <v>1632</v>
      </c>
      <c r="G614" s="64">
        <v>649</v>
      </c>
      <c r="H614" s="96">
        <v>0</v>
      </c>
      <c r="I614" s="19"/>
    </row>
    <row r="615" spans="1:9" ht="12.2" customHeight="1">
      <c r="A615" s="19"/>
      <c r="D615" s="180" t="s">
        <v>2099</v>
      </c>
      <c r="E615" s="181"/>
      <c r="F615" s="181"/>
      <c r="G615" s="92">
        <v>0</v>
      </c>
      <c r="H615" s="16"/>
      <c r="I615" s="19"/>
    </row>
    <row r="616" spans="1:9" ht="12.2" customHeight="1">
      <c r="A616" s="47"/>
      <c r="B616" s="55"/>
      <c r="C616" s="55"/>
      <c r="D616" s="180" t="s">
        <v>2100</v>
      </c>
      <c r="E616" s="181"/>
      <c r="F616" s="180"/>
      <c r="G616" s="92">
        <v>0</v>
      </c>
      <c r="H616" s="73"/>
      <c r="I616" s="19"/>
    </row>
    <row r="617" spans="1:9" ht="12.2" customHeight="1">
      <c r="A617" s="47"/>
      <c r="B617" s="55"/>
      <c r="C617" s="55"/>
      <c r="D617" s="180" t="s">
        <v>2101</v>
      </c>
      <c r="E617" s="181"/>
      <c r="F617" s="180"/>
      <c r="G617" s="92">
        <v>0</v>
      </c>
      <c r="H617" s="73"/>
      <c r="I617" s="19"/>
    </row>
    <row r="618" spans="1:9" ht="12.2" customHeight="1">
      <c r="A618" s="47"/>
      <c r="B618" s="55"/>
      <c r="C618" s="55"/>
      <c r="D618" s="180" t="s">
        <v>2102</v>
      </c>
      <c r="E618" s="181"/>
      <c r="F618" s="180"/>
      <c r="G618" s="92">
        <v>0</v>
      </c>
      <c r="H618" s="73"/>
      <c r="I618" s="19"/>
    </row>
    <row r="619" spans="1:9" ht="12.2" customHeight="1">
      <c r="A619" s="47"/>
      <c r="B619" s="55"/>
      <c r="C619" s="55"/>
      <c r="D619" s="180" t="s">
        <v>2103</v>
      </c>
      <c r="E619" s="181"/>
      <c r="F619" s="180"/>
      <c r="G619" s="92">
        <v>0</v>
      </c>
      <c r="H619" s="73"/>
      <c r="I619" s="19"/>
    </row>
    <row r="620" spans="1:9">
      <c r="A620" s="47" t="s">
        <v>418</v>
      </c>
      <c r="B620" s="55" t="s">
        <v>59</v>
      </c>
      <c r="C620" s="55" t="s">
        <v>788</v>
      </c>
      <c r="D620" s="165" t="s">
        <v>1191</v>
      </c>
      <c r="E620" s="166"/>
      <c r="F620" s="55" t="s">
        <v>1632</v>
      </c>
      <c r="G620" s="64">
        <v>649</v>
      </c>
      <c r="H620" s="96">
        <v>0</v>
      </c>
      <c r="I620" s="19"/>
    </row>
    <row r="621" spans="1:9" ht="12.2" customHeight="1">
      <c r="A621" s="19"/>
      <c r="D621" s="180" t="s">
        <v>2099</v>
      </c>
      <c r="E621" s="181"/>
      <c r="F621" s="181"/>
      <c r="G621" s="92">
        <v>0</v>
      </c>
      <c r="H621" s="16"/>
      <c r="I621" s="19"/>
    </row>
    <row r="622" spans="1:9" ht="12.2" customHeight="1">
      <c r="A622" s="47"/>
      <c r="B622" s="55"/>
      <c r="C622" s="55"/>
      <c r="D622" s="180" t="s">
        <v>2100</v>
      </c>
      <c r="E622" s="181"/>
      <c r="F622" s="180"/>
      <c r="G622" s="92">
        <v>0</v>
      </c>
      <c r="H622" s="73"/>
      <c r="I622" s="19"/>
    </row>
    <row r="623" spans="1:9" ht="12.2" customHeight="1">
      <c r="A623" s="47"/>
      <c r="B623" s="55"/>
      <c r="C623" s="55"/>
      <c r="D623" s="180" t="s">
        <v>2101</v>
      </c>
      <c r="E623" s="181"/>
      <c r="F623" s="180"/>
      <c r="G623" s="92">
        <v>0</v>
      </c>
      <c r="H623" s="73"/>
      <c r="I623" s="19"/>
    </row>
    <row r="624" spans="1:9" ht="12.2" customHeight="1">
      <c r="A624" s="47"/>
      <c r="B624" s="55"/>
      <c r="C624" s="55"/>
      <c r="D624" s="180" t="s">
        <v>2102</v>
      </c>
      <c r="E624" s="181"/>
      <c r="F624" s="180"/>
      <c r="G624" s="92">
        <v>0</v>
      </c>
      <c r="H624" s="73"/>
      <c r="I624" s="19"/>
    </row>
    <row r="625" spans="1:9" ht="12.2" customHeight="1">
      <c r="A625" s="47"/>
      <c r="B625" s="55"/>
      <c r="C625" s="55"/>
      <c r="D625" s="180" t="s">
        <v>2103</v>
      </c>
      <c r="E625" s="181"/>
      <c r="F625" s="180"/>
      <c r="G625" s="92">
        <v>0</v>
      </c>
      <c r="H625" s="73"/>
      <c r="I625" s="19"/>
    </row>
    <row r="626" spans="1:9">
      <c r="A626" s="47" t="s">
        <v>419</v>
      </c>
      <c r="B626" s="55" t="s">
        <v>59</v>
      </c>
      <c r="C626" s="55" t="s">
        <v>789</v>
      </c>
      <c r="D626" s="165" t="s">
        <v>1192</v>
      </c>
      <c r="E626" s="166"/>
      <c r="F626" s="55" t="s">
        <v>1632</v>
      </c>
      <c r="G626" s="64">
        <v>649</v>
      </c>
      <c r="H626" s="96">
        <v>0</v>
      </c>
      <c r="I626" s="19"/>
    </row>
    <row r="627" spans="1:9" ht="12.2" customHeight="1">
      <c r="A627" s="19"/>
      <c r="D627" s="180" t="s">
        <v>2099</v>
      </c>
      <c r="E627" s="181"/>
      <c r="F627" s="181"/>
      <c r="G627" s="92">
        <v>0</v>
      </c>
      <c r="H627" s="16"/>
      <c r="I627" s="19"/>
    </row>
    <row r="628" spans="1:9" ht="12.2" customHeight="1">
      <c r="A628" s="47"/>
      <c r="B628" s="55"/>
      <c r="C628" s="55"/>
      <c r="D628" s="180" t="s">
        <v>2100</v>
      </c>
      <c r="E628" s="181"/>
      <c r="F628" s="180"/>
      <c r="G628" s="92">
        <v>0</v>
      </c>
      <c r="H628" s="73"/>
      <c r="I628" s="19"/>
    </row>
    <row r="629" spans="1:9" ht="12.2" customHeight="1">
      <c r="A629" s="47"/>
      <c r="B629" s="55"/>
      <c r="C629" s="55"/>
      <c r="D629" s="180" t="s">
        <v>2101</v>
      </c>
      <c r="E629" s="181"/>
      <c r="F629" s="180"/>
      <c r="G629" s="92">
        <v>0</v>
      </c>
      <c r="H629" s="73"/>
      <c r="I629" s="19"/>
    </row>
    <row r="630" spans="1:9" ht="12.2" customHeight="1">
      <c r="A630" s="47"/>
      <c r="B630" s="55"/>
      <c r="C630" s="55"/>
      <c r="D630" s="180" t="s">
        <v>2102</v>
      </c>
      <c r="E630" s="181"/>
      <c r="F630" s="180"/>
      <c r="G630" s="92">
        <v>0</v>
      </c>
      <c r="H630" s="73"/>
      <c r="I630" s="19"/>
    </row>
    <row r="631" spans="1:9" ht="12.2" customHeight="1">
      <c r="A631" s="47"/>
      <c r="B631" s="55"/>
      <c r="C631" s="55"/>
      <c r="D631" s="180" t="s">
        <v>2103</v>
      </c>
      <c r="E631" s="181"/>
      <c r="F631" s="180"/>
      <c r="G631" s="92">
        <v>0</v>
      </c>
      <c r="H631" s="73"/>
      <c r="I631" s="19"/>
    </row>
    <row r="632" spans="1:9">
      <c r="A632" s="47" t="s">
        <v>420</v>
      </c>
      <c r="B632" s="55" t="s">
        <v>59</v>
      </c>
      <c r="C632" s="55" t="s">
        <v>790</v>
      </c>
      <c r="D632" s="165" t="s">
        <v>1193</v>
      </c>
      <c r="E632" s="166"/>
      <c r="F632" s="55" t="s">
        <v>1632</v>
      </c>
      <c r="G632" s="64">
        <v>649</v>
      </c>
      <c r="H632" s="96">
        <v>0</v>
      </c>
      <c r="I632" s="19"/>
    </row>
    <row r="633" spans="1:9" ht="12.2" customHeight="1">
      <c r="A633" s="19"/>
      <c r="D633" s="180" t="s">
        <v>2099</v>
      </c>
      <c r="E633" s="181"/>
      <c r="F633" s="181"/>
      <c r="G633" s="92">
        <v>0</v>
      </c>
      <c r="H633" s="16"/>
      <c r="I633" s="19"/>
    </row>
    <row r="634" spans="1:9" ht="12.2" customHeight="1">
      <c r="A634" s="47"/>
      <c r="B634" s="55"/>
      <c r="C634" s="55"/>
      <c r="D634" s="180" t="s">
        <v>2100</v>
      </c>
      <c r="E634" s="181"/>
      <c r="F634" s="180"/>
      <c r="G634" s="92">
        <v>0</v>
      </c>
      <c r="H634" s="73"/>
      <c r="I634" s="19"/>
    </row>
    <row r="635" spans="1:9" ht="12.2" customHeight="1">
      <c r="A635" s="47"/>
      <c r="B635" s="55"/>
      <c r="C635" s="55"/>
      <c r="D635" s="180" t="s">
        <v>2101</v>
      </c>
      <c r="E635" s="181"/>
      <c r="F635" s="180"/>
      <c r="G635" s="92">
        <v>0</v>
      </c>
      <c r="H635" s="73"/>
      <c r="I635" s="19"/>
    </row>
    <row r="636" spans="1:9" ht="12.2" customHeight="1">
      <c r="A636" s="47"/>
      <c r="B636" s="55"/>
      <c r="C636" s="55"/>
      <c r="D636" s="180" t="s">
        <v>2102</v>
      </c>
      <c r="E636" s="181"/>
      <c r="F636" s="180"/>
      <c r="G636" s="92">
        <v>0</v>
      </c>
      <c r="H636" s="73"/>
      <c r="I636" s="19"/>
    </row>
    <row r="637" spans="1:9" ht="12.2" customHeight="1">
      <c r="A637" s="47"/>
      <c r="B637" s="55"/>
      <c r="C637" s="55"/>
      <c r="D637" s="180" t="s">
        <v>2103</v>
      </c>
      <c r="E637" s="181"/>
      <c r="F637" s="180"/>
      <c r="G637" s="92">
        <v>0</v>
      </c>
      <c r="H637" s="73"/>
      <c r="I637" s="19"/>
    </row>
    <row r="638" spans="1:9">
      <c r="A638" s="47" t="s">
        <v>421</v>
      </c>
      <c r="B638" s="55" t="s">
        <v>59</v>
      </c>
      <c r="C638" s="55" t="s">
        <v>791</v>
      </c>
      <c r="D638" s="165" t="s">
        <v>1194</v>
      </c>
      <c r="E638" s="166"/>
      <c r="F638" s="55" t="s">
        <v>1632</v>
      </c>
      <c r="G638" s="64">
        <v>649</v>
      </c>
      <c r="H638" s="96">
        <v>0</v>
      </c>
      <c r="I638" s="19"/>
    </row>
    <row r="639" spans="1:9" ht="12.2" customHeight="1">
      <c r="A639" s="19"/>
      <c r="D639" s="180" t="s">
        <v>2099</v>
      </c>
      <c r="E639" s="181"/>
      <c r="F639" s="181"/>
      <c r="G639" s="92">
        <v>0</v>
      </c>
      <c r="H639" s="16"/>
      <c r="I639" s="19"/>
    </row>
    <row r="640" spans="1:9" ht="12.2" customHeight="1">
      <c r="A640" s="47"/>
      <c r="B640" s="55"/>
      <c r="C640" s="55"/>
      <c r="D640" s="180" t="s">
        <v>2100</v>
      </c>
      <c r="E640" s="181"/>
      <c r="F640" s="180"/>
      <c r="G640" s="92">
        <v>0</v>
      </c>
      <c r="H640" s="73"/>
      <c r="I640" s="19"/>
    </row>
    <row r="641" spans="1:9" ht="12.2" customHeight="1">
      <c r="A641" s="47"/>
      <c r="B641" s="55"/>
      <c r="C641" s="55"/>
      <c r="D641" s="180" t="s">
        <v>2101</v>
      </c>
      <c r="E641" s="181"/>
      <c r="F641" s="180"/>
      <c r="G641" s="92">
        <v>0</v>
      </c>
      <c r="H641" s="73"/>
      <c r="I641" s="19"/>
    </row>
    <row r="642" spans="1:9" ht="12.2" customHeight="1">
      <c r="A642" s="47"/>
      <c r="B642" s="55"/>
      <c r="C642" s="55"/>
      <c r="D642" s="180" t="s">
        <v>2102</v>
      </c>
      <c r="E642" s="181"/>
      <c r="F642" s="180"/>
      <c r="G642" s="92">
        <v>0</v>
      </c>
      <c r="H642" s="73"/>
      <c r="I642" s="19"/>
    </row>
    <row r="643" spans="1:9" ht="12.2" customHeight="1">
      <c r="A643" s="47"/>
      <c r="B643" s="55"/>
      <c r="C643" s="55"/>
      <c r="D643" s="180" t="s">
        <v>2103</v>
      </c>
      <c r="E643" s="181"/>
      <c r="F643" s="180"/>
      <c r="G643" s="92">
        <v>0</v>
      </c>
      <c r="H643" s="73"/>
      <c r="I643" s="19"/>
    </row>
    <row r="644" spans="1:9">
      <c r="A644" s="47" t="s">
        <v>422</v>
      </c>
      <c r="B644" s="55" t="s">
        <v>59</v>
      </c>
      <c r="C644" s="55" t="s">
        <v>792</v>
      </c>
      <c r="D644" s="165" t="s">
        <v>1195</v>
      </c>
      <c r="E644" s="166"/>
      <c r="F644" s="55" t="s">
        <v>1634</v>
      </c>
      <c r="G644" s="64">
        <v>47.774479999999997</v>
      </c>
      <c r="H644" s="96">
        <v>0</v>
      </c>
      <c r="I644" s="19"/>
    </row>
    <row r="645" spans="1:9">
      <c r="A645" s="87"/>
      <c r="B645" s="54"/>
      <c r="C645" s="54" t="s">
        <v>141</v>
      </c>
      <c r="D645" s="163" t="s">
        <v>192</v>
      </c>
      <c r="E645" s="164"/>
      <c r="F645" s="54"/>
      <c r="G645" s="77"/>
      <c r="H645" s="72"/>
      <c r="I645" s="19"/>
    </row>
    <row r="646" spans="1:9">
      <c r="A646" s="47" t="s">
        <v>423</v>
      </c>
      <c r="B646" s="55" t="s">
        <v>59</v>
      </c>
      <c r="C646" s="55" t="s">
        <v>793</v>
      </c>
      <c r="D646" s="165" t="s">
        <v>1196</v>
      </c>
      <c r="E646" s="166"/>
      <c r="F646" s="55" t="s">
        <v>1631</v>
      </c>
      <c r="G646" s="64">
        <v>6</v>
      </c>
      <c r="H646" s="96">
        <v>0</v>
      </c>
      <c r="I646" s="19"/>
    </row>
    <row r="647" spans="1:9">
      <c r="A647" s="47" t="s">
        <v>424</v>
      </c>
      <c r="B647" s="55" t="s">
        <v>60</v>
      </c>
      <c r="C647" s="55" t="s">
        <v>817</v>
      </c>
      <c r="D647" s="165" t="s">
        <v>1221</v>
      </c>
      <c r="E647" s="166"/>
      <c r="F647" s="55" t="s">
        <v>1632</v>
      </c>
      <c r="G647" s="64">
        <v>1018.845</v>
      </c>
      <c r="H647" s="96">
        <v>0</v>
      </c>
      <c r="I647" s="19"/>
    </row>
    <row r="648" spans="1:9" ht="12.2" customHeight="1">
      <c r="A648" s="19"/>
      <c r="D648" s="180" t="s">
        <v>2104</v>
      </c>
      <c r="E648" s="181"/>
      <c r="F648" s="181"/>
      <c r="G648" s="92">
        <v>0</v>
      </c>
      <c r="H648" s="16"/>
      <c r="I648" s="19"/>
    </row>
    <row r="649" spans="1:9" ht="12.2" customHeight="1">
      <c r="A649" s="47"/>
      <c r="B649" s="55"/>
      <c r="C649" s="55"/>
      <c r="D649" s="180" t="s">
        <v>2105</v>
      </c>
      <c r="E649" s="181"/>
      <c r="F649" s="180"/>
      <c r="G649" s="92">
        <v>0</v>
      </c>
      <c r="H649" s="73"/>
      <c r="I649" s="19"/>
    </row>
    <row r="650" spans="1:9" ht="12.2" customHeight="1">
      <c r="A650" s="47"/>
      <c r="B650" s="55"/>
      <c r="C650" s="55"/>
      <c r="D650" s="180" t="s">
        <v>2106</v>
      </c>
      <c r="E650" s="181"/>
      <c r="F650" s="180"/>
      <c r="G650" s="92">
        <v>0</v>
      </c>
      <c r="H650" s="73"/>
      <c r="I650" s="19"/>
    </row>
    <row r="651" spans="1:9">
      <c r="A651" s="47" t="s">
        <v>425</v>
      </c>
      <c r="B651" s="55" t="s">
        <v>61</v>
      </c>
      <c r="C651" s="55" t="s">
        <v>846</v>
      </c>
      <c r="D651" s="165" t="s">
        <v>1252</v>
      </c>
      <c r="E651" s="166"/>
      <c r="F651" s="55" t="s">
        <v>1632</v>
      </c>
      <c r="G651" s="64">
        <v>1004.595</v>
      </c>
      <c r="H651" s="96">
        <v>0</v>
      </c>
      <c r="I651" s="19"/>
    </row>
    <row r="652" spans="1:9" ht="12.2" customHeight="1">
      <c r="A652" s="19"/>
      <c r="D652" s="180" t="s">
        <v>2107</v>
      </c>
      <c r="E652" s="181"/>
      <c r="F652" s="181"/>
      <c r="G652" s="92">
        <v>0</v>
      </c>
      <c r="H652" s="16"/>
      <c r="I652" s="19"/>
    </row>
    <row r="653" spans="1:9" ht="12.2" customHeight="1">
      <c r="A653" s="47"/>
      <c r="B653" s="55"/>
      <c r="C653" s="55"/>
      <c r="D653" s="180" t="s">
        <v>2108</v>
      </c>
      <c r="E653" s="181"/>
      <c r="F653" s="180"/>
      <c r="G653" s="92">
        <v>0</v>
      </c>
      <c r="H653" s="73"/>
      <c r="I653" s="19"/>
    </row>
    <row r="654" spans="1:9" ht="12.2" customHeight="1">
      <c r="A654" s="47"/>
      <c r="B654" s="55"/>
      <c r="C654" s="55"/>
      <c r="D654" s="180" t="s">
        <v>2109</v>
      </c>
      <c r="E654" s="181"/>
      <c r="F654" s="180"/>
      <c r="G654" s="92">
        <v>0</v>
      </c>
      <c r="H654" s="73"/>
      <c r="I654" s="19"/>
    </row>
    <row r="655" spans="1:9">
      <c r="A655" s="87"/>
      <c r="B655" s="54"/>
      <c r="C655" s="54" t="s">
        <v>142</v>
      </c>
      <c r="D655" s="163" t="s">
        <v>193</v>
      </c>
      <c r="E655" s="164"/>
      <c r="F655" s="54"/>
      <c r="G655" s="77"/>
      <c r="H655" s="72"/>
      <c r="I655" s="19"/>
    </row>
    <row r="656" spans="1:9" ht="12.2" customHeight="1">
      <c r="A656" s="47" t="s">
        <v>426</v>
      </c>
      <c r="B656" s="55" t="s">
        <v>59</v>
      </c>
      <c r="C656" s="55" t="s">
        <v>794</v>
      </c>
      <c r="D656" s="180" t="s">
        <v>2110</v>
      </c>
      <c r="E656" s="181"/>
      <c r="F656" s="180"/>
      <c r="G656" s="92">
        <v>0</v>
      </c>
      <c r="H656" s="96">
        <v>0</v>
      </c>
      <c r="I656" s="19"/>
    </row>
    <row r="657" spans="1:9" ht="12.2" customHeight="1">
      <c r="A657" s="47" t="s">
        <v>427</v>
      </c>
      <c r="B657" s="55" t="s">
        <v>59</v>
      </c>
      <c r="C657" s="55" t="s">
        <v>795</v>
      </c>
      <c r="D657" s="180" t="s">
        <v>2111</v>
      </c>
      <c r="E657" s="181"/>
      <c r="F657" s="180"/>
      <c r="G657" s="92">
        <v>0</v>
      </c>
      <c r="H657" s="96">
        <v>0</v>
      </c>
      <c r="I657" s="19"/>
    </row>
    <row r="658" spans="1:9" ht="12.2" customHeight="1">
      <c r="A658" s="47" t="s">
        <v>428</v>
      </c>
      <c r="B658" s="55" t="s">
        <v>61</v>
      </c>
      <c r="C658" s="55" t="s">
        <v>847</v>
      </c>
      <c r="D658" s="180" t="s">
        <v>2112</v>
      </c>
      <c r="E658" s="181"/>
      <c r="F658" s="180"/>
      <c r="G658" s="92">
        <v>0</v>
      </c>
      <c r="H658" s="96">
        <v>0</v>
      </c>
      <c r="I658" s="19"/>
    </row>
    <row r="659" spans="1:9">
      <c r="A659" s="47" t="s">
        <v>429</v>
      </c>
      <c r="B659" s="55" t="s">
        <v>61</v>
      </c>
      <c r="C659" s="55" t="s">
        <v>848</v>
      </c>
      <c r="D659" s="165" t="s">
        <v>1255</v>
      </c>
      <c r="E659" s="166"/>
      <c r="F659" s="55" t="s">
        <v>1631</v>
      </c>
      <c r="G659" s="64">
        <v>114</v>
      </c>
      <c r="H659" s="96">
        <v>0</v>
      </c>
      <c r="I659" s="19"/>
    </row>
    <row r="660" spans="1:9" ht="12.2" customHeight="1">
      <c r="A660" s="19"/>
      <c r="D660" s="180" t="s">
        <v>2113</v>
      </c>
      <c r="E660" s="181"/>
      <c r="F660" s="181"/>
      <c r="G660" s="92">
        <v>0</v>
      </c>
      <c r="H660" s="16"/>
      <c r="I660" s="19"/>
    </row>
    <row r="661" spans="1:9" ht="12.2" customHeight="1">
      <c r="A661" s="47"/>
      <c r="B661" s="55"/>
      <c r="C661" s="55"/>
      <c r="D661" s="180" t="s">
        <v>2114</v>
      </c>
      <c r="E661" s="181"/>
      <c r="F661" s="180"/>
      <c r="G661" s="92">
        <v>0</v>
      </c>
      <c r="H661" s="73"/>
      <c r="I661" s="19"/>
    </row>
    <row r="662" spans="1:9" ht="12.2" customHeight="1">
      <c r="A662" s="47"/>
      <c r="B662" s="55"/>
      <c r="C662" s="55"/>
      <c r="D662" s="180" t="s">
        <v>2115</v>
      </c>
      <c r="E662" s="181"/>
      <c r="F662" s="180"/>
      <c r="G662" s="92">
        <v>0</v>
      </c>
      <c r="H662" s="73"/>
      <c r="I662" s="19"/>
    </row>
    <row r="663" spans="1:9" ht="12.2" customHeight="1">
      <c r="A663" s="47"/>
      <c r="B663" s="55"/>
      <c r="C663" s="55"/>
      <c r="D663" s="180" t="s">
        <v>2116</v>
      </c>
      <c r="E663" s="181"/>
      <c r="F663" s="180"/>
      <c r="G663" s="92">
        <v>0</v>
      </c>
      <c r="H663" s="73"/>
      <c r="I663" s="19"/>
    </row>
    <row r="664" spans="1:9" ht="12.2" customHeight="1">
      <c r="A664" s="47"/>
      <c r="B664" s="55"/>
      <c r="C664" s="55"/>
      <c r="D664" s="180" t="s">
        <v>2117</v>
      </c>
      <c r="E664" s="181"/>
      <c r="F664" s="180"/>
      <c r="G664" s="92">
        <v>0</v>
      </c>
      <c r="H664" s="73"/>
      <c r="I664" s="19"/>
    </row>
    <row r="665" spans="1:9" ht="12.2" customHeight="1">
      <c r="A665" s="47"/>
      <c r="B665" s="55"/>
      <c r="C665" s="55"/>
      <c r="D665" s="180" t="s">
        <v>2118</v>
      </c>
      <c r="E665" s="181"/>
      <c r="F665" s="180"/>
      <c r="G665" s="92">
        <v>0</v>
      </c>
      <c r="H665" s="73"/>
      <c r="I665" s="19"/>
    </row>
    <row r="666" spans="1:9" ht="12.2" customHeight="1">
      <c r="A666" s="47"/>
      <c r="B666" s="55"/>
      <c r="C666" s="55"/>
      <c r="D666" s="180" t="s">
        <v>2119</v>
      </c>
      <c r="E666" s="181"/>
      <c r="F666" s="180"/>
      <c r="G666" s="92">
        <v>0</v>
      </c>
      <c r="H666" s="73"/>
      <c r="I666" s="19"/>
    </row>
    <row r="667" spans="1:9" ht="12.2" customHeight="1">
      <c r="A667" s="47"/>
      <c r="B667" s="55"/>
      <c r="C667" s="55"/>
      <c r="D667" s="180" t="s">
        <v>2120</v>
      </c>
      <c r="E667" s="181"/>
      <c r="F667" s="180"/>
      <c r="G667" s="92">
        <v>0</v>
      </c>
      <c r="H667" s="73"/>
      <c r="I667" s="19"/>
    </row>
    <row r="668" spans="1:9" ht="12.2" customHeight="1">
      <c r="A668" s="47"/>
      <c r="B668" s="55"/>
      <c r="C668" s="55"/>
      <c r="D668" s="180" t="s">
        <v>2121</v>
      </c>
      <c r="E668" s="181"/>
      <c r="F668" s="180"/>
      <c r="G668" s="92">
        <v>0</v>
      </c>
      <c r="H668" s="73"/>
      <c r="I668" s="19"/>
    </row>
    <row r="669" spans="1:9" ht="12.2" customHeight="1">
      <c r="A669" s="47" t="s">
        <v>430</v>
      </c>
      <c r="B669" s="55" t="s">
        <v>61</v>
      </c>
      <c r="C669" s="55" t="s">
        <v>849</v>
      </c>
      <c r="D669" s="180" t="s">
        <v>2122</v>
      </c>
      <c r="E669" s="181"/>
      <c r="F669" s="180"/>
      <c r="G669" s="92">
        <v>0</v>
      </c>
      <c r="H669" s="96">
        <v>0</v>
      </c>
      <c r="I669" s="19"/>
    </row>
    <row r="670" spans="1:9" ht="12.2" customHeight="1">
      <c r="A670" s="47"/>
      <c r="B670" s="55"/>
      <c r="C670" s="55"/>
      <c r="D670" s="180" t="s">
        <v>2123</v>
      </c>
      <c r="E670" s="181"/>
      <c r="F670" s="180"/>
      <c r="G670" s="92">
        <v>0</v>
      </c>
      <c r="H670" s="73"/>
      <c r="I670" s="19"/>
    </row>
    <row r="671" spans="1:9" ht="12.2" customHeight="1">
      <c r="A671" s="47" t="s">
        <v>431</v>
      </c>
      <c r="B671" s="55" t="s">
        <v>61</v>
      </c>
      <c r="C671" s="55" t="s">
        <v>850</v>
      </c>
      <c r="D671" s="180" t="s">
        <v>2124</v>
      </c>
      <c r="E671" s="181"/>
      <c r="F671" s="180"/>
      <c r="G671" s="92">
        <v>0</v>
      </c>
      <c r="H671" s="96">
        <v>0</v>
      </c>
      <c r="I671" s="19"/>
    </row>
    <row r="672" spans="1:9" ht="12.2" customHeight="1">
      <c r="A672" s="47"/>
      <c r="B672" s="55"/>
      <c r="C672" s="55"/>
      <c r="D672" s="180" t="s">
        <v>2125</v>
      </c>
      <c r="E672" s="181"/>
      <c r="F672" s="180"/>
      <c r="G672" s="92">
        <v>0</v>
      </c>
      <c r="H672" s="73"/>
      <c r="I672" s="19"/>
    </row>
    <row r="673" spans="1:9">
      <c r="A673" s="47" t="s">
        <v>432</v>
      </c>
      <c r="B673" s="55" t="s">
        <v>61</v>
      </c>
      <c r="C673" s="55" t="s">
        <v>851</v>
      </c>
      <c r="D673" s="165" t="s">
        <v>1258</v>
      </c>
      <c r="E673" s="166"/>
      <c r="F673" s="55" t="s">
        <v>1632</v>
      </c>
      <c r="G673" s="64">
        <v>33.479999999999997</v>
      </c>
      <c r="H673" s="96">
        <v>0</v>
      </c>
      <c r="I673" s="19"/>
    </row>
    <row r="674" spans="1:9" ht="12.2" customHeight="1">
      <c r="A674" s="19"/>
      <c r="D674" s="180" t="s">
        <v>2126</v>
      </c>
      <c r="E674" s="181"/>
      <c r="F674" s="181"/>
      <c r="G674" s="92">
        <v>0</v>
      </c>
      <c r="H674" s="16"/>
      <c r="I674" s="19"/>
    </row>
    <row r="675" spans="1:9" ht="12.2" customHeight="1">
      <c r="A675" s="47"/>
      <c r="B675" s="55"/>
      <c r="C675" s="55"/>
      <c r="D675" s="180" t="s">
        <v>2127</v>
      </c>
      <c r="E675" s="181"/>
      <c r="F675" s="180"/>
      <c r="G675" s="92">
        <v>0</v>
      </c>
      <c r="H675" s="73"/>
      <c r="I675" s="19"/>
    </row>
    <row r="676" spans="1:9" ht="12.2" customHeight="1">
      <c r="A676" s="47"/>
      <c r="B676" s="55"/>
      <c r="C676" s="55"/>
      <c r="D676" s="180" t="s">
        <v>2128</v>
      </c>
      <c r="E676" s="181"/>
      <c r="F676" s="180"/>
      <c r="G676" s="92">
        <v>0</v>
      </c>
      <c r="H676" s="73"/>
      <c r="I676" s="19"/>
    </row>
    <row r="677" spans="1:9" ht="12.2" customHeight="1">
      <c r="A677" s="47" t="s">
        <v>433</v>
      </c>
      <c r="B677" s="55" t="s">
        <v>61</v>
      </c>
      <c r="C677" s="55" t="s">
        <v>852</v>
      </c>
      <c r="D677" s="180" t="s">
        <v>2129</v>
      </c>
      <c r="E677" s="181"/>
      <c r="F677" s="180"/>
      <c r="G677" s="92">
        <v>0</v>
      </c>
      <c r="H677" s="96">
        <v>0</v>
      </c>
      <c r="I677" s="19"/>
    </row>
    <row r="678" spans="1:9" ht="12.2" customHeight="1">
      <c r="A678" s="47"/>
      <c r="B678" s="55"/>
      <c r="C678" s="55"/>
      <c r="D678" s="180" t="s">
        <v>2130</v>
      </c>
      <c r="E678" s="181"/>
      <c r="F678" s="180"/>
      <c r="G678" s="92">
        <v>0</v>
      </c>
      <c r="H678" s="73"/>
      <c r="I678" s="19"/>
    </row>
    <row r="679" spans="1:9">
      <c r="A679" s="47" t="s">
        <v>434</v>
      </c>
      <c r="B679" s="55" t="s">
        <v>61</v>
      </c>
      <c r="C679" s="55" t="s">
        <v>853</v>
      </c>
      <c r="D679" s="165" t="s">
        <v>1260</v>
      </c>
      <c r="E679" s="166"/>
      <c r="F679" s="55" t="s">
        <v>1632</v>
      </c>
      <c r="G679" s="64">
        <v>112.68</v>
      </c>
      <c r="H679" s="96">
        <v>0</v>
      </c>
      <c r="I679" s="19"/>
    </row>
    <row r="680" spans="1:9" ht="12.2" customHeight="1">
      <c r="A680" s="19"/>
      <c r="D680" s="180" t="s">
        <v>2131</v>
      </c>
      <c r="E680" s="181"/>
      <c r="F680" s="181"/>
      <c r="G680" s="92">
        <v>0</v>
      </c>
      <c r="H680" s="16"/>
      <c r="I680" s="19"/>
    </row>
    <row r="681" spans="1:9" ht="12.2" customHeight="1">
      <c r="A681" s="47"/>
      <c r="B681" s="55"/>
      <c r="C681" s="55"/>
      <c r="D681" s="180" t="s">
        <v>2132</v>
      </c>
      <c r="E681" s="181"/>
      <c r="F681" s="180"/>
      <c r="G681" s="92">
        <v>0</v>
      </c>
      <c r="H681" s="73"/>
      <c r="I681" s="19"/>
    </row>
    <row r="682" spans="1:9" ht="12.2" customHeight="1">
      <c r="A682" s="47"/>
      <c r="B682" s="55"/>
      <c r="C682" s="55"/>
      <c r="D682" s="180" t="s">
        <v>2133</v>
      </c>
      <c r="E682" s="181"/>
      <c r="F682" s="180"/>
      <c r="G682" s="92">
        <v>0</v>
      </c>
      <c r="H682" s="73"/>
      <c r="I682" s="19"/>
    </row>
    <row r="683" spans="1:9" ht="12.2" customHeight="1">
      <c r="A683" s="47"/>
      <c r="B683" s="55"/>
      <c r="C683" s="55"/>
      <c r="D683" s="180" t="s">
        <v>2134</v>
      </c>
      <c r="E683" s="181"/>
      <c r="F683" s="180"/>
      <c r="G683" s="92">
        <v>0</v>
      </c>
      <c r="H683" s="73"/>
      <c r="I683" s="19"/>
    </row>
    <row r="684" spans="1:9" ht="12.2" customHeight="1">
      <c r="A684" s="47" t="s">
        <v>435</v>
      </c>
      <c r="B684" s="55" t="s">
        <v>61</v>
      </c>
      <c r="C684" s="55" t="s">
        <v>854</v>
      </c>
      <c r="D684" s="180" t="s">
        <v>2135</v>
      </c>
      <c r="E684" s="181"/>
      <c r="F684" s="180"/>
      <c r="G684" s="92">
        <v>0</v>
      </c>
      <c r="H684" s="96">
        <v>0</v>
      </c>
      <c r="I684" s="19"/>
    </row>
    <row r="685" spans="1:9" ht="12.2" customHeight="1">
      <c r="A685" s="47"/>
      <c r="B685" s="55"/>
      <c r="C685" s="55"/>
      <c r="D685" s="180" t="s">
        <v>2136</v>
      </c>
      <c r="E685" s="181"/>
      <c r="F685" s="180"/>
      <c r="G685" s="92">
        <v>0</v>
      </c>
      <c r="H685" s="73"/>
      <c r="I685" s="19"/>
    </row>
    <row r="686" spans="1:9" ht="12.2" customHeight="1">
      <c r="A686" s="47" t="s">
        <v>436</v>
      </c>
      <c r="B686" s="55" t="s">
        <v>61</v>
      </c>
      <c r="C686" s="55" t="s">
        <v>855</v>
      </c>
      <c r="D686" s="180" t="s">
        <v>2137</v>
      </c>
      <c r="E686" s="181"/>
      <c r="F686" s="180"/>
      <c r="G686" s="92">
        <v>0</v>
      </c>
      <c r="H686" s="96">
        <v>0</v>
      </c>
      <c r="I686" s="19"/>
    </row>
    <row r="687" spans="1:9" ht="12.2" customHeight="1">
      <c r="A687" s="47" t="s">
        <v>437</v>
      </c>
      <c r="B687" s="55" t="s">
        <v>61</v>
      </c>
      <c r="C687" s="55" t="s">
        <v>856</v>
      </c>
      <c r="D687" s="180" t="s">
        <v>2138</v>
      </c>
      <c r="E687" s="181"/>
      <c r="F687" s="180"/>
      <c r="G687" s="92">
        <v>0</v>
      </c>
      <c r="H687" s="96">
        <v>0</v>
      </c>
      <c r="I687" s="19"/>
    </row>
    <row r="688" spans="1:9">
      <c r="A688" s="47" t="s">
        <v>438</v>
      </c>
      <c r="B688" s="55" t="s">
        <v>61</v>
      </c>
      <c r="C688" s="55" t="s">
        <v>857</v>
      </c>
      <c r="D688" s="165" t="s">
        <v>1264</v>
      </c>
      <c r="E688" s="166"/>
      <c r="F688" s="55" t="s">
        <v>1633</v>
      </c>
      <c r="G688" s="64">
        <v>36</v>
      </c>
      <c r="H688" s="96">
        <v>0</v>
      </c>
      <c r="I688" s="19"/>
    </row>
    <row r="689" spans="1:9" ht="12.2" customHeight="1">
      <c r="A689" s="19"/>
      <c r="D689" s="180" t="s">
        <v>2139</v>
      </c>
      <c r="E689" s="181"/>
      <c r="F689" s="181"/>
      <c r="G689" s="92">
        <v>0</v>
      </c>
      <c r="H689" s="16"/>
      <c r="I689" s="19"/>
    </row>
    <row r="690" spans="1:9" ht="12.2" customHeight="1">
      <c r="A690" s="47"/>
      <c r="B690" s="55"/>
      <c r="C690" s="55"/>
      <c r="D690" s="180" t="s">
        <v>2140</v>
      </c>
      <c r="E690" s="181"/>
      <c r="F690" s="180"/>
      <c r="G690" s="92">
        <v>0</v>
      </c>
      <c r="H690" s="73"/>
      <c r="I690" s="19"/>
    </row>
    <row r="691" spans="1:9" ht="12.2" customHeight="1">
      <c r="A691" s="47"/>
      <c r="B691" s="55"/>
      <c r="C691" s="55"/>
      <c r="D691" s="180" t="s">
        <v>2141</v>
      </c>
      <c r="E691" s="181"/>
      <c r="F691" s="180"/>
      <c r="G691" s="92">
        <v>0</v>
      </c>
      <c r="H691" s="73"/>
      <c r="I691" s="19"/>
    </row>
    <row r="692" spans="1:9" ht="12.2" customHeight="1">
      <c r="A692" s="47"/>
      <c r="B692" s="55"/>
      <c r="C692" s="55"/>
      <c r="D692" s="180" t="s">
        <v>2142</v>
      </c>
      <c r="E692" s="181"/>
      <c r="F692" s="180"/>
      <c r="G692" s="92">
        <v>0</v>
      </c>
      <c r="H692" s="73"/>
      <c r="I692" s="19"/>
    </row>
    <row r="693" spans="1:9" ht="12.2" customHeight="1">
      <c r="A693" s="47"/>
      <c r="B693" s="55"/>
      <c r="C693" s="55"/>
      <c r="D693" s="180" t="s">
        <v>2143</v>
      </c>
      <c r="E693" s="181"/>
      <c r="F693" s="180"/>
      <c r="G693" s="92">
        <v>0</v>
      </c>
      <c r="H693" s="73"/>
      <c r="I693" s="19"/>
    </row>
    <row r="694" spans="1:9">
      <c r="A694" s="47" t="s">
        <v>439</v>
      </c>
      <c r="B694" s="55" t="s">
        <v>61</v>
      </c>
      <c r="C694" s="55" t="s">
        <v>858</v>
      </c>
      <c r="D694" s="165" t="s">
        <v>1265</v>
      </c>
      <c r="E694" s="166"/>
      <c r="F694" s="55" t="s">
        <v>1633</v>
      </c>
      <c r="G694" s="64">
        <v>33.6</v>
      </c>
      <c r="H694" s="96">
        <v>0</v>
      </c>
      <c r="I694" s="19"/>
    </row>
    <row r="695" spans="1:9" ht="12.2" customHeight="1">
      <c r="A695" s="19"/>
      <c r="D695" s="180" t="s">
        <v>2144</v>
      </c>
      <c r="E695" s="181"/>
      <c r="F695" s="181"/>
      <c r="G695" s="92">
        <v>0</v>
      </c>
      <c r="H695" s="16"/>
      <c r="I695" s="19"/>
    </row>
    <row r="696" spans="1:9" ht="12.2" customHeight="1">
      <c r="A696" s="47"/>
      <c r="B696" s="55"/>
      <c r="C696" s="55"/>
      <c r="D696" s="180" t="s">
        <v>2145</v>
      </c>
      <c r="E696" s="181"/>
      <c r="F696" s="180"/>
      <c r="G696" s="92">
        <v>0</v>
      </c>
      <c r="H696" s="73"/>
      <c r="I696" s="19"/>
    </row>
    <row r="697" spans="1:9" ht="12.2" customHeight="1">
      <c r="A697" s="47"/>
      <c r="B697" s="55"/>
      <c r="C697" s="55"/>
      <c r="D697" s="180" t="s">
        <v>2146</v>
      </c>
      <c r="E697" s="181"/>
      <c r="F697" s="180"/>
      <c r="G697" s="92">
        <v>0</v>
      </c>
      <c r="H697" s="73"/>
      <c r="I697" s="19"/>
    </row>
    <row r="698" spans="1:9" ht="12.2" customHeight="1">
      <c r="A698" s="47"/>
      <c r="B698" s="55"/>
      <c r="C698" s="55"/>
      <c r="D698" s="180" t="s">
        <v>2147</v>
      </c>
      <c r="E698" s="181"/>
      <c r="F698" s="180"/>
      <c r="G698" s="92">
        <v>0</v>
      </c>
      <c r="H698" s="73"/>
      <c r="I698" s="19"/>
    </row>
    <row r="699" spans="1:9" ht="12.2" customHeight="1">
      <c r="A699" s="47" t="s">
        <v>440</v>
      </c>
      <c r="B699" s="55" t="s">
        <v>69</v>
      </c>
      <c r="C699" s="55" t="s">
        <v>1001</v>
      </c>
      <c r="D699" s="180" t="s">
        <v>2148</v>
      </c>
      <c r="E699" s="181"/>
      <c r="F699" s="180"/>
      <c r="G699" s="92">
        <v>0</v>
      </c>
      <c r="H699" s="96">
        <v>0</v>
      </c>
      <c r="I699" s="19"/>
    </row>
    <row r="700" spans="1:9" ht="12.2" customHeight="1">
      <c r="A700" s="47"/>
      <c r="B700" s="55"/>
      <c r="C700" s="55"/>
      <c r="D700" s="180" t="s">
        <v>2149</v>
      </c>
      <c r="E700" s="181"/>
      <c r="F700" s="180"/>
      <c r="G700" s="92">
        <v>0</v>
      </c>
      <c r="H700" s="73"/>
      <c r="I700" s="19"/>
    </row>
    <row r="701" spans="1:9" ht="12.2" customHeight="1">
      <c r="A701" s="47" t="s">
        <v>441</v>
      </c>
      <c r="B701" s="55" t="s">
        <v>69</v>
      </c>
      <c r="C701" s="55" t="s">
        <v>1002</v>
      </c>
      <c r="D701" s="180" t="s">
        <v>2150</v>
      </c>
      <c r="E701" s="181"/>
      <c r="F701" s="180"/>
      <c r="G701" s="92">
        <v>0</v>
      </c>
      <c r="H701" s="96">
        <v>0</v>
      </c>
      <c r="I701" s="19"/>
    </row>
    <row r="702" spans="1:9" ht="12.2" customHeight="1">
      <c r="A702" s="47"/>
      <c r="B702" s="55"/>
      <c r="C702" s="55"/>
      <c r="D702" s="180" t="s">
        <v>2151</v>
      </c>
      <c r="E702" s="181"/>
      <c r="F702" s="180"/>
      <c r="G702" s="92">
        <v>0</v>
      </c>
      <c r="H702" s="73"/>
      <c r="I702" s="19"/>
    </row>
    <row r="703" spans="1:9" ht="12.2" customHeight="1">
      <c r="A703" s="47" t="s">
        <v>442</v>
      </c>
      <c r="B703" s="55" t="s">
        <v>69</v>
      </c>
      <c r="C703" s="55" t="s">
        <v>1003</v>
      </c>
      <c r="D703" s="180" t="s">
        <v>2150</v>
      </c>
      <c r="E703" s="181"/>
      <c r="F703" s="180"/>
      <c r="G703" s="92">
        <v>0</v>
      </c>
      <c r="H703" s="96">
        <v>0</v>
      </c>
      <c r="I703" s="19"/>
    </row>
    <row r="704" spans="1:9" ht="12.2" customHeight="1">
      <c r="A704" s="47"/>
      <c r="B704" s="55"/>
      <c r="C704" s="55"/>
      <c r="D704" s="180" t="s">
        <v>2151</v>
      </c>
      <c r="E704" s="181"/>
      <c r="F704" s="180"/>
      <c r="G704" s="92">
        <v>0</v>
      </c>
      <c r="H704" s="73"/>
      <c r="I704" s="19"/>
    </row>
    <row r="705" spans="1:9" ht="12.2" customHeight="1">
      <c r="A705" s="47" t="s">
        <v>443</v>
      </c>
      <c r="B705" s="55" t="s">
        <v>69</v>
      </c>
      <c r="C705" s="55" t="s">
        <v>795</v>
      </c>
      <c r="D705" s="180" t="s">
        <v>2152</v>
      </c>
      <c r="E705" s="181"/>
      <c r="F705" s="180"/>
      <c r="G705" s="92">
        <v>0</v>
      </c>
      <c r="H705" s="96">
        <v>0</v>
      </c>
      <c r="I705" s="19"/>
    </row>
    <row r="706" spans="1:9" ht="12.2" customHeight="1">
      <c r="A706" s="47"/>
      <c r="B706" s="55"/>
      <c r="C706" s="55"/>
      <c r="D706" s="180" t="s">
        <v>2153</v>
      </c>
      <c r="E706" s="181"/>
      <c r="F706" s="180"/>
      <c r="G706" s="92">
        <v>0</v>
      </c>
      <c r="H706" s="73"/>
      <c r="I706" s="19"/>
    </row>
    <row r="707" spans="1:9" ht="12.2" customHeight="1">
      <c r="A707" s="47" t="s">
        <v>444</v>
      </c>
      <c r="B707" s="55" t="s">
        <v>69</v>
      </c>
      <c r="C707" s="55" t="s">
        <v>1004</v>
      </c>
      <c r="D707" s="180" t="s">
        <v>2154</v>
      </c>
      <c r="E707" s="181"/>
      <c r="F707" s="180"/>
      <c r="G707" s="92">
        <v>0</v>
      </c>
      <c r="H707" s="96">
        <v>0</v>
      </c>
      <c r="I707" s="19"/>
    </row>
    <row r="708" spans="1:9" ht="12.2" customHeight="1">
      <c r="A708" s="47"/>
      <c r="B708" s="55"/>
      <c r="C708" s="55"/>
      <c r="D708" s="180" t="s">
        <v>2155</v>
      </c>
      <c r="E708" s="181"/>
      <c r="F708" s="180"/>
      <c r="G708" s="92">
        <v>0</v>
      </c>
      <c r="H708" s="73"/>
      <c r="I708" s="19"/>
    </row>
    <row r="709" spans="1:9" ht="12.2" customHeight="1">
      <c r="A709" s="47" t="s">
        <v>445</v>
      </c>
      <c r="B709" s="55" t="s">
        <v>69</v>
      </c>
      <c r="C709" s="55" t="s">
        <v>1005</v>
      </c>
      <c r="D709" s="180" t="s">
        <v>2156</v>
      </c>
      <c r="E709" s="181"/>
      <c r="F709" s="180"/>
      <c r="G709" s="92">
        <v>0</v>
      </c>
      <c r="H709" s="96">
        <v>0</v>
      </c>
      <c r="I709" s="19"/>
    </row>
    <row r="710" spans="1:9" ht="12.2" customHeight="1">
      <c r="A710" s="47" t="s">
        <v>446</v>
      </c>
      <c r="B710" s="55" t="s">
        <v>71</v>
      </c>
      <c r="C710" s="55" t="s">
        <v>1030</v>
      </c>
      <c r="D710" s="180" t="s">
        <v>2157</v>
      </c>
      <c r="E710" s="181"/>
      <c r="F710" s="180"/>
      <c r="G710" s="92">
        <v>0</v>
      </c>
      <c r="H710" s="96">
        <v>0</v>
      </c>
      <c r="I710" s="19"/>
    </row>
    <row r="711" spans="1:9">
      <c r="A711" s="87"/>
      <c r="B711" s="54"/>
      <c r="C711" s="54" t="s">
        <v>143</v>
      </c>
      <c r="D711" s="163" t="s">
        <v>194</v>
      </c>
      <c r="E711" s="164"/>
      <c r="F711" s="54"/>
      <c r="G711" s="77"/>
      <c r="H711" s="72"/>
      <c r="I711" s="19"/>
    </row>
    <row r="712" spans="1:9" ht="12.2" customHeight="1">
      <c r="A712" s="47" t="s">
        <v>447</v>
      </c>
      <c r="B712" s="55" t="s">
        <v>59</v>
      </c>
      <c r="C712" s="55" t="s">
        <v>796</v>
      </c>
      <c r="D712" s="180" t="s">
        <v>1793</v>
      </c>
      <c r="E712" s="181"/>
      <c r="F712" s="180"/>
      <c r="G712" s="92">
        <v>0</v>
      </c>
      <c r="H712" s="96">
        <v>0</v>
      </c>
      <c r="I712" s="19"/>
    </row>
    <row r="713" spans="1:9" ht="12.2" customHeight="1">
      <c r="A713" s="47" t="s">
        <v>448</v>
      </c>
      <c r="B713" s="55" t="s">
        <v>59</v>
      </c>
      <c r="C713" s="55" t="s">
        <v>797</v>
      </c>
      <c r="D713" s="180" t="s">
        <v>2158</v>
      </c>
      <c r="E713" s="181"/>
      <c r="F713" s="180"/>
      <c r="G713" s="92">
        <v>0</v>
      </c>
      <c r="H713" s="96">
        <v>0</v>
      </c>
      <c r="I713" s="19"/>
    </row>
    <row r="714" spans="1:9" ht="12.2" customHeight="1">
      <c r="A714" s="47" t="s">
        <v>449</v>
      </c>
      <c r="B714" s="55" t="s">
        <v>71</v>
      </c>
      <c r="C714" s="55" t="s">
        <v>1031</v>
      </c>
      <c r="D714" s="180" t="s">
        <v>2159</v>
      </c>
      <c r="E714" s="181"/>
      <c r="F714" s="180"/>
      <c r="G714" s="92">
        <v>0</v>
      </c>
      <c r="H714" s="96">
        <v>0</v>
      </c>
      <c r="I714" s="19"/>
    </row>
    <row r="715" spans="1:9" ht="12.2" customHeight="1">
      <c r="A715" s="47" t="s">
        <v>450</v>
      </c>
      <c r="B715" s="55" t="s">
        <v>71</v>
      </c>
      <c r="C715" s="55" t="s">
        <v>1032</v>
      </c>
      <c r="D715" s="180" t="s">
        <v>2160</v>
      </c>
      <c r="E715" s="181"/>
      <c r="F715" s="180"/>
      <c r="G715" s="92">
        <v>0</v>
      </c>
      <c r="H715" s="96">
        <v>0</v>
      </c>
      <c r="I715" s="19"/>
    </row>
    <row r="716" spans="1:9">
      <c r="A716" s="87"/>
      <c r="B716" s="54"/>
      <c r="C716" s="54" t="s">
        <v>144</v>
      </c>
      <c r="D716" s="163" t="s">
        <v>195</v>
      </c>
      <c r="E716" s="164"/>
      <c r="F716" s="54"/>
      <c r="G716" s="77"/>
      <c r="H716" s="72"/>
      <c r="I716" s="19"/>
    </row>
    <row r="717" spans="1:9" ht="12.2" customHeight="1">
      <c r="A717" s="47" t="s">
        <v>451</v>
      </c>
      <c r="B717" s="55" t="s">
        <v>59</v>
      </c>
      <c r="C717" s="55" t="s">
        <v>767</v>
      </c>
      <c r="D717" s="180" t="s">
        <v>2161</v>
      </c>
      <c r="E717" s="181"/>
      <c r="F717" s="180"/>
      <c r="G717" s="92">
        <v>0</v>
      </c>
      <c r="H717" s="96">
        <v>0</v>
      </c>
      <c r="I717" s="19"/>
    </row>
    <row r="718" spans="1:9" ht="12.2" customHeight="1">
      <c r="A718" s="47" t="s">
        <v>452</v>
      </c>
      <c r="B718" s="55" t="s">
        <v>59</v>
      </c>
      <c r="C718" s="55" t="s">
        <v>798</v>
      </c>
      <c r="D718" s="180" t="s">
        <v>2161</v>
      </c>
      <c r="E718" s="181"/>
      <c r="F718" s="180"/>
      <c r="G718" s="92">
        <v>0</v>
      </c>
      <c r="H718" s="96">
        <v>0</v>
      </c>
      <c r="I718" s="19"/>
    </row>
    <row r="719" spans="1:9" ht="12.2" customHeight="1">
      <c r="A719" s="48" t="s">
        <v>453</v>
      </c>
      <c r="B719" s="56" t="s">
        <v>59</v>
      </c>
      <c r="C719" s="56" t="s">
        <v>799</v>
      </c>
      <c r="D719" s="182" t="s">
        <v>2162</v>
      </c>
      <c r="E719" s="183"/>
      <c r="F719" s="182"/>
      <c r="G719" s="93">
        <v>0</v>
      </c>
      <c r="H719" s="97">
        <v>0</v>
      </c>
      <c r="I719" s="19"/>
    </row>
    <row r="720" spans="1:9">
      <c r="A720" s="87"/>
      <c r="B720" s="54"/>
      <c r="C720" s="54" t="s">
        <v>145</v>
      </c>
      <c r="D720" s="163" t="s">
        <v>196</v>
      </c>
      <c r="E720" s="164"/>
      <c r="F720" s="54"/>
      <c r="G720" s="77"/>
      <c r="H720" s="72"/>
      <c r="I720" s="19"/>
    </row>
    <row r="721" spans="1:9">
      <c r="A721" s="47" t="s">
        <v>454</v>
      </c>
      <c r="B721" s="55" t="s">
        <v>59</v>
      </c>
      <c r="C721" s="55" t="s">
        <v>800</v>
      </c>
      <c r="D721" s="165" t="s">
        <v>1204</v>
      </c>
      <c r="E721" s="166"/>
      <c r="F721" s="55" t="s">
        <v>1634</v>
      </c>
      <c r="G721" s="64">
        <v>6.8546399999999998</v>
      </c>
      <c r="H721" s="96">
        <v>0</v>
      </c>
      <c r="I721" s="19"/>
    </row>
    <row r="722" spans="1:9" ht="12.2" customHeight="1">
      <c r="A722" s="47" t="s">
        <v>455</v>
      </c>
      <c r="B722" s="55" t="s">
        <v>59</v>
      </c>
      <c r="C722" s="55" t="s">
        <v>801</v>
      </c>
      <c r="D722" s="180" t="s">
        <v>2163</v>
      </c>
      <c r="E722" s="181"/>
      <c r="F722" s="180"/>
      <c r="G722" s="92">
        <v>0</v>
      </c>
      <c r="H722" s="96">
        <v>0</v>
      </c>
      <c r="I722" s="19"/>
    </row>
    <row r="723" spans="1:9">
      <c r="A723" s="47" t="s">
        <v>456</v>
      </c>
      <c r="B723" s="55" t="s">
        <v>59</v>
      </c>
      <c r="C723" s="55" t="s">
        <v>802</v>
      </c>
      <c r="D723" s="165" t="s">
        <v>1206</v>
      </c>
      <c r="E723" s="166"/>
      <c r="F723" s="55" t="s">
        <v>1634</v>
      </c>
      <c r="G723" s="64">
        <v>6.8546399999999998</v>
      </c>
      <c r="H723" s="96">
        <v>0</v>
      </c>
      <c r="I723" s="19"/>
    </row>
    <row r="724" spans="1:9" ht="12.2" customHeight="1">
      <c r="A724" s="47" t="s">
        <v>457</v>
      </c>
      <c r="B724" s="55" t="s">
        <v>59</v>
      </c>
      <c r="C724" s="55" t="s">
        <v>803</v>
      </c>
      <c r="D724" s="180" t="s">
        <v>2164</v>
      </c>
      <c r="E724" s="181"/>
      <c r="F724" s="180"/>
      <c r="G724" s="92">
        <v>0</v>
      </c>
      <c r="H724" s="96">
        <v>0</v>
      </c>
      <c r="I724" s="19"/>
    </row>
    <row r="725" spans="1:9">
      <c r="A725" s="47" t="s">
        <v>458</v>
      </c>
      <c r="B725" s="55" t="s">
        <v>59</v>
      </c>
      <c r="C725" s="55" t="s">
        <v>804</v>
      </c>
      <c r="D725" s="165" t="s">
        <v>1208</v>
      </c>
      <c r="E725" s="166"/>
      <c r="F725" s="55" t="s">
        <v>1634</v>
      </c>
      <c r="G725" s="64">
        <v>6.4675799999999999</v>
      </c>
      <c r="H725" s="96">
        <v>0</v>
      </c>
      <c r="I725" s="19"/>
    </row>
    <row r="726" spans="1:9">
      <c r="A726" s="47" t="s">
        <v>459</v>
      </c>
      <c r="B726" s="55" t="s">
        <v>59</v>
      </c>
      <c r="C726" s="55" t="s">
        <v>805</v>
      </c>
      <c r="D726" s="165" t="s">
        <v>1209</v>
      </c>
      <c r="E726" s="166"/>
      <c r="F726" s="55" t="s">
        <v>1634</v>
      </c>
      <c r="G726" s="64">
        <v>7.6000000000000004E-4</v>
      </c>
      <c r="H726" s="96">
        <v>0</v>
      </c>
      <c r="I726" s="19"/>
    </row>
    <row r="727" spans="1:9">
      <c r="A727" s="47" t="s">
        <v>460</v>
      </c>
      <c r="B727" s="55" t="s">
        <v>60</v>
      </c>
      <c r="C727" s="55" t="s">
        <v>800</v>
      </c>
      <c r="D727" s="165" t="s">
        <v>1204</v>
      </c>
      <c r="E727" s="166"/>
      <c r="F727" s="55" t="s">
        <v>1634</v>
      </c>
      <c r="G727" s="64">
        <v>7.20892</v>
      </c>
      <c r="H727" s="96">
        <v>0</v>
      </c>
      <c r="I727" s="19"/>
    </row>
    <row r="728" spans="1:9" ht="12.2" customHeight="1">
      <c r="A728" s="47" t="s">
        <v>461</v>
      </c>
      <c r="B728" s="55" t="s">
        <v>60</v>
      </c>
      <c r="C728" s="55" t="s">
        <v>801</v>
      </c>
      <c r="D728" s="180" t="s">
        <v>2165</v>
      </c>
      <c r="E728" s="181"/>
      <c r="F728" s="180"/>
      <c r="G728" s="92">
        <v>0</v>
      </c>
      <c r="H728" s="96">
        <v>0</v>
      </c>
      <c r="I728" s="19"/>
    </row>
    <row r="729" spans="1:9">
      <c r="A729" s="47" t="s">
        <v>462</v>
      </c>
      <c r="B729" s="55" t="s">
        <v>60</v>
      </c>
      <c r="C729" s="55" t="s">
        <v>802</v>
      </c>
      <c r="D729" s="165" t="s">
        <v>1206</v>
      </c>
      <c r="E729" s="166"/>
      <c r="F729" s="55" t="s">
        <v>1634</v>
      </c>
      <c r="G729" s="64">
        <v>7.20892</v>
      </c>
      <c r="H729" s="96">
        <v>0</v>
      </c>
      <c r="I729" s="19"/>
    </row>
    <row r="730" spans="1:9" ht="12.2" customHeight="1">
      <c r="A730" s="47" t="s">
        <v>463</v>
      </c>
      <c r="B730" s="55" t="s">
        <v>60</v>
      </c>
      <c r="C730" s="55" t="s">
        <v>803</v>
      </c>
      <c r="D730" s="180" t="s">
        <v>2166</v>
      </c>
      <c r="E730" s="181"/>
      <c r="F730" s="180"/>
      <c r="G730" s="92">
        <v>0</v>
      </c>
      <c r="H730" s="96">
        <v>0</v>
      </c>
      <c r="I730" s="19"/>
    </row>
    <row r="731" spans="1:9">
      <c r="A731" s="47" t="s">
        <v>464</v>
      </c>
      <c r="B731" s="55" t="s">
        <v>60</v>
      </c>
      <c r="C731" s="55" t="s">
        <v>818</v>
      </c>
      <c r="D731" s="165" t="s">
        <v>1222</v>
      </c>
      <c r="E731" s="166"/>
      <c r="F731" s="55" t="s">
        <v>1634</v>
      </c>
      <c r="G731" s="64">
        <v>4.07538</v>
      </c>
      <c r="H731" s="96">
        <v>0</v>
      </c>
      <c r="I731" s="19"/>
    </row>
    <row r="732" spans="1:9">
      <c r="A732" s="47" t="s">
        <v>465</v>
      </c>
      <c r="B732" s="55" t="s">
        <v>60</v>
      </c>
      <c r="C732" s="55" t="s">
        <v>819</v>
      </c>
      <c r="D732" s="165" t="s">
        <v>1223</v>
      </c>
      <c r="E732" s="166"/>
      <c r="F732" s="55" t="s">
        <v>1634</v>
      </c>
      <c r="G732" s="64">
        <v>6.9809999999999997E-2</v>
      </c>
      <c r="H732" s="96">
        <v>0</v>
      </c>
      <c r="I732" s="19"/>
    </row>
    <row r="733" spans="1:9">
      <c r="A733" s="47" t="s">
        <v>466</v>
      </c>
      <c r="B733" s="55" t="s">
        <v>61</v>
      </c>
      <c r="C733" s="55" t="s">
        <v>800</v>
      </c>
      <c r="D733" s="165" t="s">
        <v>1204</v>
      </c>
      <c r="E733" s="166"/>
      <c r="F733" s="55" t="s">
        <v>1634</v>
      </c>
      <c r="G733" s="64">
        <v>9.4232999999999993</v>
      </c>
      <c r="H733" s="96">
        <v>0</v>
      </c>
      <c r="I733" s="19"/>
    </row>
    <row r="734" spans="1:9" ht="12.2" customHeight="1">
      <c r="A734" s="47" t="s">
        <v>467</v>
      </c>
      <c r="B734" s="55" t="s">
        <v>61</v>
      </c>
      <c r="C734" s="55" t="s">
        <v>801</v>
      </c>
      <c r="D734" s="180" t="s">
        <v>2167</v>
      </c>
      <c r="E734" s="181"/>
      <c r="F734" s="180"/>
      <c r="G734" s="92">
        <v>0</v>
      </c>
      <c r="H734" s="96">
        <v>0</v>
      </c>
      <c r="I734" s="19"/>
    </row>
    <row r="735" spans="1:9">
      <c r="A735" s="47" t="s">
        <v>468</v>
      </c>
      <c r="B735" s="55" t="s">
        <v>61</v>
      </c>
      <c r="C735" s="55" t="s">
        <v>802</v>
      </c>
      <c r="D735" s="165" t="s">
        <v>1206</v>
      </c>
      <c r="E735" s="166"/>
      <c r="F735" s="55" t="s">
        <v>1634</v>
      </c>
      <c r="G735" s="64">
        <v>9.4232999999999993</v>
      </c>
      <c r="H735" s="96">
        <v>0</v>
      </c>
      <c r="I735" s="19"/>
    </row>
    <row r="736" spans="1:9" ht="12.2" customHeight="1">
      <c r="A736" s="47" t="s">
        <v>469</v>
      </c>
      <c r="B736" s="55" t="s">
        <v>61</v>
      </c>
      <c r="C736" s="55" t="s">
        <v>803</v>
      </c>
      <c r="D736" s="180" t="s">
        <v>2168</v>
      </c>
      <c r="E736" s="181"/>
      <c r="F736" s="180"/>
      <c r="G736" s="92">
        <v>0</v>
      </c>
      <c r="H736" s="96">
        <v>0</v>
      </c>
      <c r="I736" s="19"/>
    </row>
    <row r="737" spans="1:9">
      <c r="A737" s="47" t="s">
        <v>470</v>
      </c>
      <c r="B737" s="55" t="s">
        <v>61</v>
      </c>
      <c r="C737" s="55" t="s">
        <v>804</v>
      </c>
      <c r="D737" s="165" t="s">
        <v>1208</v>
      </c>
      <c r="E737" s="166"/>
      <c r="F737" s="55" t="s">
        <v>1634</v>
      </c>
      <c r="G737" s="64">
        <v>7.1279999999999996E-2</v>
      </c>
      <c r="H737" s="96">
        <v>0</v>
      </c>
      <c r="I737" s="19"/>
    </row>
    <row r="738" spans="1:9">
      <c r="A738" s="47" t="s">
        <v>471</v>
      </c>
      <c r="B738" s="55" t="s">
        <v>61</v>
      </c>
      <c r="C738" s="55" t="s">
        <v>819</v>
      </c>
      <c r="D738" s="165" t="s">
        <v>1223</v>
      </c>
      <c r="E738" s="166"/>
      <c r="F738" s="55" t="s">
        <v>1634</v>
      </c>
      <c r="G738" s="64">
        <v>0.90703</v>
      </c>
      <c r="H738" s="96">
        <v>0</v>
      </c>
      <c r="I738" s="19"/>
    </row>
    <row r="739" spans="1:9">
      <c r="A739" s="47" t="s">
        <v>472</v>
      </c>
      <c r="B739" s="55" t="s">
        <v>61</v>
      </c>
      <c r="C739" s="55" t="s">
        <v>859</v>
      </c>
      <c r="D739" s="165" t="s">
        <v>1266</v>
      </c>
      <c r="E739" s="166"/>
      <c r="F739" s="55" t="s">
        <v>1634</v>
      </c>
      <c r="G739" s="64">
        <v>8.4449900000000007</v>
      </c>
      <c r="H739" s="96">
        <v>0</v>
      </c>
      <c r="I739" s="19"/>
    </row>
    <row r="740" spans="1:9">
      <c r="A740" s="47" t="s">
        <v>473</v>
      </c>
      <c r="B740" s="55" t="s">
        <v>68</v>
      </c>
      <c r="C740" s="55" t="s">
        <v>802</v>
      </c>
      <c r="D740" s="165" t="s">
        <v>1206</v>
      </c>
      <c r="E740" s="166"/>
      <c r="F740" s="55" t="s">
        <v>1634</v>
      </c>
      <c r="G740" s="64">
        <v>2.7599999999999999E-3</v>
      </c>
      <c r="H740" s="96">
        <v>0</v>
      </c>
      <c r="I740" s="19"/>
    </row>
    <row r="741" spans="1:9" ht="12.2" customHeight="1">
      <c r="A741" s="47" t="s">
        <v>474</v>
      </c>
      <c r="B741" s="55" t="s">
        <v>68</v>
      </c>
      <c r="C741" s="55" t="s">
        <v>803</v>
      </c>
      <c r="D741" s="180" t="s">
        <v>2169</v>
      </c>
      <c r="E741" s="181"/>
      <c r="F741" s="180"/>
      <c r="G741" s="92">
        <v>0</v>
      </c>
      <c r="H741" s="96">
        <v>0</v>
      </c>
      <c r="I741" s="19"/>
    </row>
    <row r="742" spans="1:9">
      <c r="A742" s="47" t="s">
        <v>475</v>
      </c>
      <c r="B742" s="55" t="s">
        <v>69</v>
      </c>
      <c r="C742" s="55" t="s">
        <v>800</v>
      </c>
      <c r="D742" s="165" t="s">
        <v>1204</v>
      </c>
      <c r="E742" s="166"/>
      <c r="F742" s="55" t="s">
        <v>1634</v>
      </c>
      <c r="G742" s="64">
        <v>96.974289999999996</v>
      </c>
      <c r="H742" s="96">
        <v>0</v>
      </c>
      <c r="I742" s="19"/>
    </row>
    <row r="743" spans="1:9" ht="12.2" customHeight="1">
      <c r="A743" s="47" t="s">
        <v>476</v>
      </c>
      <c r="B743" s="55" t="s">
        <v>69</v>
      </c>
      <c r="C743" s="55" t="s">
        <v>801</v>
      </c>
      <c r="D743" s="180" t="s">
        <v>2170</v>
      </c>
      <c r="E743" s="181"/>
      <c r="F743" s="180"/>
      <c r="G743" s="92">
        <v>0</v>
      </c>
      <c r="H743" s="96">
        <v>0</v>
      </c>
      <c r="I743" s="19"/>
    </row>
    <row r="744" spans="1:9">
      <c r="A744" s="47" t="s">
        <v>477</v>
      </c>
      <c r="B744" s="55" t="s">
        <v>69</v>
      </c>
      <c r="C744" s="55" t="s">
        <v>802</v>
      </c>
      <c r="D744" s="165" t="s">
        <v>1206</v>
      </c>
      <c r="E744" s="166"/>
      <c r="F744" s="55" t="s">
        <v>1634</v>
      </c>
      <c r="G744" s="64">
        <v>96.974289999999996</v>
      </c>
      <c r="H744" s="96">
        <v>0</v>
      </c>
      <c r="I744" s="19"/>
    </row>
    <row r="745" spans="1:9" ht="12.2" customHeight="1">
      <c r="A745" s="47" t="s">
        <v>478</v>
      </c>
      <c r="B745" s="55" t="s">
        <v>69</v>
      </c>
      <c r="C745" s="55" t="s">
        <v>803</v>
      </c>
      <c r="D745" s="180" t="s">
        <v>2171</v>
      </c>
      <c r="E745" s="181"/>
      <c r="F745" s="180"/>
      <c r="G745" s="92">
        <v>0</v>
      </c>
      <c r="H745" s="96">
        <v>0</v>
      </c>
      <c r="I745" s="19"/>
    </row>
    <row r="746" spans="1:9">
      <c r="A746" s="47" t="s">
        <v>479</v>
      </c>
      <c r="B746" s="55" t="s">
        <v>69</v>
      </c>
      <c r="C746" s="55" t="s">
        <v>804</v>
      </c>
      <c r="D746" s="165" t="s">
        <v>1208</v>
      </c>
      <c r="E746" s="166"/>
      <c r="F746" s="55" t="s">
        <v>1634</v>
      </c>
      <c r="G746" s="64">
        <v>31.751999999999999</v>
      </c>
      <c r="H746" s="96">
        <v>0</v>
      </c>
      <c r="I746" s="19"/>
    </row>
    <row r="747" spans="1:9">
      <c r="A747" s="47" t="s">
        <v>480</v>
      </c>
      <c r="B747" s="55" t="s">
        <v>69</v>
      </c>
      <c r="C747" s="55" t="s">
        <v>1006</v>
      </c>
      <c r="D747" s="165" t="s">
        <v>1501</v>
      </c>
      <c r="E747" s="166"/>
      <c r="F747" s="55" t="s">
        <v>1634</v>
      </c>
      <c r="G747" s="64">
        <v>61.534080000000003</v>
      </c>
      <c r="H747" s="96">
        <v>0</v>
      </c>
      <c r="I747" s="19"/>
    </row>
    <row r="748" spans="1:9">
      <c r="A748" s="47" t="s">
        <v>481</v>
      </c>
      <c r="B748" s="55" t="s">
        <v>69</v>
      </c>
      <c r="C748" s="55" t="s">
        <v>805</v>
      </c>
      <c r="D748" s="165" t="s">
        <v>1209</v>
      </c>
      <c r="E748" s="166"/>
      <c r="F748" s="55" t="s">
        <v>1634</v>
      </c>
      <c r="G748" s="64">
        <v>3.6882100000000002</v>
      </c>
      <c r="H748" s="96">
        <v>0</v>
      </c>
      <c r="I748" s="19"/>
    </row>
    <row r="749" spans="1:9">
      <c r="A749" s="47" t="s">
        <v>482</v>
      </c>
      <c r="B749" s="55" t="s">
        <v>70</v>
      </c>
      <c r="C749" s="55" t="s">
        <v>800</v>
      </c>
      <c r="D749" s="165" t="s">
        <v>1204</v>
      </c>
      <c r="E749" s="166"/>
      <c r="F749" s="55" t="s">
        <v>1634</v>
      </c>
      <c r="G749" s="64">
        <v>0.94116999999999995</v>
      </c>
      <c r="H749" s="96">
        <v>0</v>
      </c>
      <c r="I749" s="19"/>
    </row>
    <row r="750" spans="1:9" ht="12.2" customHeight="1">
      <c r="A750" s="47" t="s">
        <v>483</v>
      </c>
      <c r="B750" s="55" t="s">
        <v>70</v>
      </c>
      <c r="C750" s="55" t="s">
        <v>801</v>
      </c>
      <c r="D750" s="180" t="s">
        <v>2172</v>
      </c>
      <c r="E750" s="181"/>
      <c r="F750" s="180"/>
      <c r="G750" s="92">
        <v>0</v>
      </c>
      <c r="H750" s="96">
        <v>0</v>
      </c>
      <c r="I750" s="19"/>
    </row>
    <row r="751" spans="1:9">
      <c r="A751" s="47" t="s">
        <v>484</v>
      </c>
      <c r="B751" s="55" t="s">
        <v>70</v>
      </c>
      <c r="C751" s="55" t="s">
        <v>802</v>
      </c>
      <c r="D751" s="165" t="s">
        <v>1206</v>
      </c>
      <c r="E751" s="166"/>
      <c r="F751" s="55" t="s">
        <v>1634</v>
      </c>
      <c r="G751" s="64">
        <v>0.94116999999999995</v>
      </c>
      <c r="H751" s="96">
        <v>0</v>
      </c>
      <c r="I751" s="19"/>
    </row>
    <row r="752" spans="1:9" ht="12.2" customHeight="1">
      <c r="A752" s="47" t="s">
        <v>485</v>
      </c>
      <c r="B752" s="55" t="s">
        <v>70</v>
      </c>
      <c r="C752" s="55" t="s">
        <v>803</v>
      </c>
      <c r="D752" s="180" t="s">
        <v>2173</v>
      </c>
      <c r="E752" s="181"/>
      <c r="F752" s="180"/>
      <c r="G752" s="92">
        <v>0</v>
      </c>
      <c r="H752" s="96">
        <v>0</v>
      </c>
      <c r="I752" s="19"/>
    </row>
    <row r="753" spans="1:9">
      <c r="A753" s="47" t="s">
        <v>486</v>
      </c>
      <c r="B753" s="55" t="s">
        <v>71</v>
      </c>
      <c r="C753" s="55" t="s">
        <v>800</v>
      </c>
      <c r="D753" s="165" t="s">
        <v>1204</v>
      </c>
      <c r="E753" s="166"/>
      <c r="F753" s="55" t="s">
        <v>1634</v>
      </c>
      <c r="G753" s="64">
        <v>26.28</v>
      </c>
      <c r="H753" s="96">
        <v>0</v>
      </c>
      <c r="I753" s="19"/>
    </row>
    <row r="754" spans="1:9" ht="12.2" customHeight="1">
      <c r="A754" s="47" t="s">
        <v>487</v>
      </c>
      <c r="B754" s="55" t="s">
        <v>71</v>
      </c>
      <c r="C754" s="55" t="s">
        <v>801</v>
      </c>
      <c r="D754" s="180" t="s">
        <v>2174</v>
      </c>
      <c r="E754" s="181"/>
      <c r="F754" s="180"/>
      <c r="G754" s="92">
        <v>0</v>
      </c>
      <c r="H754" s="96">
        <v>0</v>
      </c>
      <c r="I754" s="19"/>
    </row>
    <row r="755" spans="1:9">
      <c r="A755" s="47" t="s">
        <v>488</v>
      </c>
      <c r="B755" s="55" t="s">
        <v>71</v>
      </c>
      <c r="C755" s="55" t="s">
        <v>802</v>
      </c>
      <c r="D755" s="165" t="s">
        <v>1206</v>
      </c>
      <c r="E755" s="166"/>
      <c r="F755" s="55" t="s">
        <v>1634</v>
      </c>
      <c r="G755" s="64">
        <v>26.28</v>
      </c>
      <c r="H755" s="96">
        <v>0</v>
      </c>
      <c r="I755" s="19"/>
    </row>
    <row r="756" spans="1:9" ht="12.2" customHeight="1">
      <c r="A756" s="47" t="s">
        <v>489</v>
      </c>
      <c r="B756" s="55" t="s">
        <v>71</v>
      </c>
      <c r="C756" s="55" t="s">
        <v>803</v>
      </c>
      <c r="D756" s="180" t="s">
        <v>2175</v>
      </c>
      <c r="E756" s="181"/>
      <c r="F756" s="180"/>
      <c r="G756" s="92">
        <v>0</v>
      </c>
      <c r="H756" s="96">
        <v>0</v>
      </c>
      <c r="I756" s="19"/>
    </row>
    <row r="757" spans="1:9">
      <c r="A757" s="47" t="s">
        <v>490</v>
      </c>
      <c r="B757" s="55" t="s">
        <v>71</v>
      </c>
      <c r="C757" s="55" t="s">
        <v>1006</v>
      </c>
      <c r="D757" s="165" t="s">
        <v>1501</v>
      </c>
      <c r="E757" s="166"/>
      <c r="F757" s="55" t="s">
        <v>1634</v>
      </c>
      <c r="G757" s="64">
        <v>26.28</v>
      </c>
      <c r="H757" s="96">
        <v>0</v>
      </c>
      <c r="I757" s="19"/>
    </row>
    <row r="758" spans="1:9">
      <c r="A758" s="87"/>
      <c r="B758" s="54"/>
      <c r="C758" s="54" t="s">
        <v>146</v>
      </c>
      <c r="D758" s="163" t="s">
        <v>197</v>
      </c>
      <c r="E758" s="164"/>
      <c r="F758" s="54"/>
      <c r="G758" s="77"/>
      <c r="H758" s="72"/>
      <c r="I758" s="19"/>
    </row>
    <row r="759" spans="1:9">
      <c r="A759" s="47" t="s">
        <v>491</v>
      </c>
      <c r="B759" s="55" t="s">
        <v>60</v>
      </c>
      <c r="C759" s="55" t="s">
        <v>820</v>
      </c>
      <c r="D759" s="165" t="s">
        <v>1224</v>
      </c>
      <c r="E759" s="166"/>
      <c r="F759" s="55" t="s">
        <v>1632</v>
      </c>
      <c r="G759" s="64">
        <v>1018.845</v>
      </c>
      <c r="H759" s="96">
        <v>0</v>
      </c>
      <c r="I759" s="19"/>
    </row>
    <row r="760" spans="1:9" ht="12.2" customHeight="1">
      <c r="A760" s="19"/>
      <c r="D760" s="180" t="s">
        <v>2104</v>
      </c>
      <c r="E760" s="181"/>
      <c r="F760" s="181"/>
      <c r="G760" s="92">
        <v>0</v>
      </c>
      <c r="H760" s="16"/>
      <c r="I760" s="19"/>
    </row>
    <row r="761" spans="1:9" ht="12.2" customHeight="1">
      <c r="A761" s="47"/>
      <c r="B761" s="55"/>
      <c r="C761" s="55"/>
      <c r="D761" s="180" t="s">
        <v>2105</v>
      </c>
      <c r="E761" s="181"/>
      <c r="F761" s="180"/>
      <c r="G761" s="92">
        <v>0</v>
      </c>
      <c r="H761" s="73"/>
      <c r="I761" s="19"/>
    </row>
    <row r="762" spans="1:9" ht="12.2" customHeight="1">
      <c r="A762" s="47"/>
      <c r="B762" s="55"/>
      <c r="C762" s="55"/>
      <c r="D762" s="180" t="s">
        <v>2106</v>
      </c>
      <c r="E762" s="181"/>
      <c r="F762" s="180"/>
      <c r="G762" s="92">
        <v>0</v>
      </c>
      <c r="H762" s="73"/>
      <c r="I762" s="19"/>
    </row>
    <row r="763" spans="1:9">
      <c r="A763" s="47" t="s">
        <v>492</v>
      </c>
      <c r="B763" s="55" t="s">
        <v>60</v>
      </c>
      <c r="C763" s="55" t="s">
        <v>821</v>
      </c>
      <c r="D763" s="165" t="s">
        <v>1225</v>
      </c>
      <c r="E763" s="166"/>
      <c r="F763" s="55" t="s">
        <v>1638</v>
      </c>
      <c r="G763" s="64">
        <v>305.65350000000001</v>
      </c>
      <c r="H763" s="96">
        <v>0</v>
      </c>
      <c r="I763" s="19"/>
    </row>
    <row r="764" spans="1:9" ht="12.2" customHeight="1">
      <c r="A764" s="19"/>
      <c r="D764" s="180" t="s">
        <v>2176</v>
      </c>
      <c r="E764" s="181"/>
      <c r="F764" s="181"/>
      <c r="G764" s="92">
        <v>0</v>
      </c>
      <c r="H764" s="16"/>
      <c r="I764" s="19"/>
    </row>
    <row r="765" spans="1:9" ht="12.2" customHeight="1">
      <c r="A765" s="47"/>
      <c r="B765" s="55"/>
      <c r="C765" s="55"/>
      <c r="D765" s="180" t="s">
        <v>2177</v>
      </c>
      <c r="E765" s="181"/>
      <c r="F765" s="180"/>
      <c r="G765" s="92">
        <v>0</v>
      </c>
      <c r="H765" s="73"/>
      <c r="I765" s="19"/>
    </row>
    <row r="766" spans="1:9" ht="12.2" customHeight="1">
      <c r="A766" s="47"/>
      <c r="B766" s="55"/>
      <c r="C766" s="55"/>
      <c r="D766" s="180" t="s">
        <v>2178</v>
      </c>
      <c r="E766" s="181"/>
      <c r="F766" s="180"/>
      <c r="G766" s="92">
        <v>0</v>
      </c>
      <c r="H766" s="73"/>
      <c r="I766" s="19"/>
    </row>
    <row r="767" spans="1:9">
      <c r="A767" s="47" t="s">
        <v>493</v>
      </c>
      <c r="B767" s="55" t="s">
        <v>60</v>
      </c>
      <c r="C767" s="55" t="s">
        <v>822</v>
      </c>
      <c r="D767" s="165" t="s">
        <v>1226</v>
      </c>
      <c r="E767" s="166"/>
      <c r="F767" s="55" t="s">
        <v>1634</v>
      </c>
      <c r="G767" s="64">
        <v>16.591889999999999</v>
      </c>
      <c r="H767" s="96">
        <v>0</v>
      </c>
      <c r="I767" s="19"/>
    </row>
    <row r="768" spans="1:9">
      <c r="A768" s="47" t="s">
        <v>494</v>
      </c>
      <c r="B768" s="55" t="s">
        <v>71</v>
      </c>
      <c r="C768" s="55" t="s">
        <v>1033</v>
      </c>
      <c r="D768" s="165" t="s">
        <v>1536</v>
      </c>
      <c r="E768" s="166"/>
      <c r="F768" s="55" t="s">
        <v>1632</v>
      </c>
      <c r="G768" s="64">
        <v>358.97750000000002</v>
      </c>
      <c r="H768" s="96">
        <v>0</v>
      </c>
      <c r="I768" s="19"/>
    </row>
    <row r="769" spans="1:9" ht="12.2" customHeight="1">
      <c r="A769" s="19"/>
      <c r="D769" s="180" t="s">
        <v>2179</v>
      </c>
      <c r="E769" s="181"/>
      <c r="F769" s="181"/>
      <c r="G769" s="92">
        <v>0</v>
      </c>
      <c r="H769" s="16"/>
      <c r="I769" s="19"/>
    </row>
    <row r="770" spans="1:9" ht="12.2" customHeight="1">
      <c r="A770" s="47"/>
      <c r="B770" s="55"/>
      <c r="C770" s="55"/>
      <c r="D770" s="180" t="s">
        <v>2180</v>
      </c>
      <c r="E770" s="181"/>
      <c r="F770" s="180"/>
      <c r="G770" s="92">
        <v>0</v>
      </c>
      <c r="H770" s="73"/>
      <c r="I770" s="19"/>
    </row>
    <row r="771" spans="1:9" ht="12.2" customHeight="1">
      <c r="A771" s="47"/>
      <c r="B771" s="55"/>
      <c r="C771" s="55"/>
      <c r="D771" s="180" t="s">
        <v>2181</v>
      </c>
      <c r="E771" s="181"/>
      <c r="F771" s="180"/>
      <c r="G771" s="92">
        <v>0</v>
      </c>
      <c r="H771" s="73"/>
      <c r="I771" s="19"/>
    </row>
    <row r="772" spans="1:9" ht="12.2" customHeight="1">
      <c r="A772" s="47"/>
      <c r="B772" s="55"/>
      <c r="C772" s="55"/>
      <c r="D772" s="180" t="s">
        <v>2182</v>
      </c>
      <c r="E772" s="181"/>
      <c r="F772" s="180"/>
      <c r="G772" s="92">
        <v>0</v>
      </c>
      <c r="H772" s="73"/>
      <c r="I772" s="19"/>
    </row>
    <row r="773" spans="1:9" ht="12.2" customHeight="1">
      <c r="A773" s="47"/>
      <c r="B773" s="55"/>
      <c r="C773" s="55"/>
      <c r="D773" s="180" t="s">
        <v>2183</v>
      </c>
      <c r="E773" s="181"/>
      <c r="F773" s="180"/>
      <c r="G773" s="92">
        <v>0</v>
      </c>
      <c r="H773" s="73"/>
      <c r="I773" s="19"/>
    </row>
    <row r="774" spans="1:9" ht="12.2" customHeight="1">
      <c r="A774" s="47"/>
      <c r="B774" s="55"/>
      <c r="C774" s="55"/>
      <c r="D774" s="180" t="s">
        <v>2184</v>
      </c>
      <c r="E774" s="181"/>
      <c r="F774" s="180"/>
      <c r="G774" s="92">
        <v>0</v>
      </c>
      <c r="H774" s="73"/>
      <c r="I774" s="19"/>
    </row>
    <row r="775" spans="1:9" ht="12.2" customHeight="1">
      <c r="A775" s="47"/>
      <c r="B775" s="55"/>
      <c r="C775" s="55"/>
      <c r="D775" s="180" t="s">
        <v>2185</v>
      </c>
      <c r="E775" s="181"/>
      <c r="F775" s="180"/>
      <c r="G775" s="92">
        <v>0</v>
      </c>
      <c r="H775" s="73"/>
      <c r="I775" s="19"/>
    </row>
    <row r="776" spans="1:9" ht="12.2" customHeight="1">
      <c r="A776" s="47"/>
      <c r="B776" s="55"/>
      <c r="C776" s="55"/>
      <c r="D776" s="180" t="s">
        <v>2186</v>
      </c>
      <c r="E776" s="181"/>
      <c r="F776" s="180"/>
      <c r="G776" s="92">
        <v>0</v>
      </c>
      <c r="H776" s="73"/>
      <c r="I776" s="19"/>
    </row>
    <row r="777" spans="1:9" ht="12.2" customHeight="1">
      <c r="A777" s="47"/>
      <c r="B777" s="55"/>
      <c r="C777" s="55"/>
      <c r="D777" s="180" t="s">
        <v>2187</v>
      </c>
      <c r="E777" s="181"/>
      <c r="F777" s="180"/>
      <c r="G777" s="92">
        <v>0</v>
      </c>
      <c r="H777" s="73"/>
      <c r="I777" s="19"/>
    </row>
    <row r="778" spans="1:9">
      <c r="A778" s="48" t="s">
        <v>495</v>
      </c>
      <c r="B778" s="56" t="s">
        <v>71</v>
      </c>
      <c r="C778" s="56" t="s">
        <v>1034</v>
      </c>
      <c r="D778" s="170" t="s">
        <v>1537</v>
      </c>
      <c r="E778" s="171"/>
      <c r="F778" s="56" t="s">
        <v>1632</v>
      </c>
      <c r="G778" s="65">
        <v>35.002000000000002</v>
      </c>
      <c r="H778" s="97">
        <v>0</v>
      </c>
      <c r="I778" s="19"/>
    </row>
    <row r="779" spans="1:9" ht="12.2" customHeight="1">
      <c r="A779" s="19"/>
      <c r="D779" s="182" t="s">
        <v>2179</v>
      </c>
      <c r="E779" s="183"/>
      <c r="F779" s="183"/>
      <c r="G779" s="93">
        <v>0</v>
      </c>
      <c r="H779" s="16"/>
      <c r="I779" s="19"/>
    </row>
    <row r="780" spans="1:9" ht="12.2" customHeight="1">
      <c r="A780" s="48"/>
      <c r="B780" s="56"/>
      <c r="C780" s="56"/>
      <c r="D780" s="182" t="s">
        <v>2180</v>
      </c>
      <c r="E780" s="183"/>
      <c r="F780" s="182"/>
      <c r="G780" s="93">
        <v>0</v>
      </c>
      <c r="H780" s="74"/>
      <c r="I780" s="19"/>
    </row>
    <row r="781" spans="1:9" ht="12.2" customHeight="1">
      <c r="A781" s="48"/>
      <c r="B781" s="56"/>
      <c r="C781" s="56"/>
      <c r="D781" s="182" t="s">
        <v>2181</v>
      </c>
      <c r="E781" s="183"/>
      <c r="F781" s="182"/>
      <c r="G781" s="93">
        <v>0</v>
      </c>
      <c r="H781" s="74"/>
      <c r="I781" s="19"/>
    </row>
    <row r="782" spans="1:9" ht="12.2" customHeight="1">
      <c r="A782" s="48"/>
      <c r="B782" s="56"/>
      <c r="C782" s="56"/>
      <c r="D782" s="182" t="s">
        <v>2188</v>
      </c>
      <c r="E782" s="183"/>
      <c r="F782" s="182"/>
      <c r="G782" s="93">
        <v>0</v>
      </c>
      <c r="H782" s="74"/>
      <c r="I782" s="19"/>
    </row>
    <row r="783" spans="1:9">
      <c r="A783" s="48" t="s">
        <v>496</v>
      </c>
      <c r="B783" s="56" t="s">
        <v>71</v>
      </c>
      <c r="C783" s="56" t="s">
        <v>1035</v>
      </c>
      <c r="D783" s="170" t="s">
        <v>1538</v>
      </c>
      <c r="E783" s="171"/>
      <c r="F783" s="56" t="s">
        <v>1632</v>
      </c>
      <c r="G783" s="65">
        <v>311.46224999999998</v>
      </c>
      <c r="H783" s="97">
        <v>0</v>
      </c>
      <c r="I783" s="19"/>
    </row>
    <row r="784" spans="1:9" ht="12.2" customHeight="1">
      <c r="A784" s="19"/>
      <c r="D784" s="182" t="s">
        <v>2182</v>
      </c>
      <c r="E784" s="183"/>
      <c r="F784" s="183"/>
      <c r="G784" s="93">
        <v>0</v>
      </c>
      <c r="H784" s="16"/>
      <c r="I784" s="19"/>
    </row>
    <row r="785" spans="1:9" ht="12.2" customHeight="1">
      <c r="A785" s="48"/>
      <c r="B785" s="56"/>
      <c r="C785" s="56"/>
      <c r="D785" s="182" t="s">
        <v>2183</v>
      </c>
      <c r="E785" s="183"/>
      <c r="F785" s="182"/>
      <c r="G785" s="93">
        <v>0</v>
      </c>
      <c r="H785" s="74"/>
      <c r="I785" s="19"/>
    </row>
    <row r="786" spans="1:9" ht="12.2" customHeight="1">
      <c r="A786" s="48"/>
      <c r="B786" s="56"/>
      <c r="C786" s="56"/>
      <c r="D786" s="182" t="s">
        <v>2184</v>
      </c>
      <c r="E786" s="183"/>
      <c r="F786" s="182"/>
      <c r="G786" s="93">
        <v>0</v>
      </c>
      <c r="H786" s="74"/>
      <c r="I786" s="19"/>
    </row>
    <row r="787" spans="1:9" ht="12.2" customHeight="1">
      <c r="A787" s="48"/>
      <c r="B787" s="56"/>
      <c r="C787" s="56"/>
      <c r="D787" s="182" t="s">
        <v>2189</v>
      </c>
      <c r="E787" s="183"/>
      <c r="F787" s="182"/>
      <c r="G787" s="93">
        <v>0</v>
      </c>
      <c r="H787" s="74"/>
      <c r="I787" s="19"/>
    </row>
    <row r="788" spans="1:9">
      <c r="A788" s="48" t="s">
        <v>497</v>
      </c>
      <c r="B788" s="56" t="s">
        <v>71</v>
      </c>
      <c r="C788" s="56" t="s">
        <v>1036</v>
      </c>
      <c r="D788" s="170" t="s">
        <v>1539</v>
      </c>
      <c r="E788" s="171"/>
      <c r="F788" s="56" t="s">
        <v>1632</v>
      </c>
      <c r="G788" s="65">
        <v>48.411000000000001</v>
      </c>
      <c r="H788" s="97">
        <v>0</v>
      </c>
      <c r="I788" s="19"/>
    </row>
    <row r="789" spans="1:9" ht="12.2" customHeight="1">
      <c r="A789" s="19"/>
      <c r="D789" s="182" t="s">
        <v>2185</v>
      </c>
      <c r="E789" s="183"/>
      <c r="F789" s="183"/>
      <c r="G789" s="93">
        <v>0</v>
      </c>
      <c r="H789" s="16"/>
      <c r="I789" s="19"/>
    </row>
    <row r="790" spans="1:9" ht="12.2" customHeight="1">
      <c r="A790" s="48"/>
      <c r="B790" s="56"/>
      <c r="C790" s="56"/>
      <c r="D790" s="182" t="s">
        <v>2186</v>
      </c>
      <c r="E790" s="183"/>
      <c r="F790" s="182"/>
      <c r="G790" s="93">
        <v>0</v>
      </c>
      <c r="H790" s="74"/>
      <c r="I790" s="19"/>
    </row>
    <row r="791" spans="1:9" ht="12.2" customHeight="1">
      <c r="A791" s="48"/>
      <c r="B791" s="56"/>
      <c r="C791" s="56"/>
      <c r="D791" s="182" t="s">
        <v>2187</v>
      </c>
      <c r="E791" s="183"/>
      <c r="F791" s="182"/>
      <c r="G791" s="93">
        <v>0</v>
      </c>
      <c r="H791" s="74"/>
      <c r="I791" s="19"/>
    </row>
    <row r="792" spans="1:9" ht="12.2" customHeight="1">
      <c r="A792" s="48"/>
      <c r="B792" s="56"/>
      <c r="C792" s="56"/>
      <c r="D792" s="182" t="s">
        <v>2190</v>
      </c>
      <c r="E792" s="183"/>
      <c r="F792" s="182"/>
      <c r="G792" s="93">
        <v>0</v>
      </c>
      <c r="H792" s="74"/>
      <c r="I792" s="19"/>
    </row>
    <row r="793" spans="1:9">
      <c r="A793" s="47" t="s">
        <v>498</v>
      </c>
      <c r="B793" s="55" t="s">
        <v>71</v>
      </c>
      <c r="C793" s="55" t="s">
        <v>822</v>
      </c>
      <c r="D793" s="165" t="s">
        <v>1226</v>
      </c>
      <c r="E793" s="166"/>
      <c r="F793" s="55" t="s">
        <v>1634</v>
      </c>
      <c r="G793" s="64">
        <v>1.6672</v>
      </c>
      <c r="H793" s="96">
        <v>0</v>
      </c>
      <c r="I793" s="19"/>
    </row>
    <row r="794" spans="1:9">
      <c r="A794" s="47" t="s">
        <v>499</v>
      </c>
      <c r="B794" s="55" t="s">
        <v>64</v>
      </c>
      <c r="C794" s="55" t="s">
        <v>933</v>
      </c>
      <c r="D794" s="165" t="s">
        <v>1372</v>
      </c>
      <c r="E794" s="166"/>
      <c r="F794" s="55" t="s">
        <v>1642</v>
      </c>
      <c r="G794" s="64">
        <v>5</v>
      </c>
      <c r="H794" s="96">
        <v>0</v>
      </c>
      <c r="I794" s="19"/>
    </row>
    <row r="795" spans="1:9">
      <c r="A795" s="48" t="s">
        <v>500</v>
      </c>
      <c r="B795" s="56" t="s">
        <v>64</v>
      </c>
      <c r="C795" s="56" t="s">
        <v>934</v>
      </c>
      <c r="D795" s="170" t="s">
        <v>1374</v>
      </c>
      <c r="E795" s="171"/>
      <c r="F795" s="56" t="s">
        <v>1642</v>
      </c>
      <c r="G795" s="65">
        <v>1.1000000000000001</v>
      </c>
      <c r="H795" s="97">
        <v>0</v>
      </c>
      <c r="I795" s="19"/>
    </row>
    <row r="796" spans="1:9">
      <c r="A796" s="48" t="s">
        <v>501</v>
      </c>
      <c r="B796" s="56" t="s">
        <v>64</v>
      </c>
      <c r="C796" s="56" t="s">
        <v>935</v>
      </c>
      <c r="D796" s="170" t="s">
        <v>1375</v>
      </c>
      <c r="E796" s="171"/>
      <c r="F796" s="56" t="s">
        <v>1642</v>
      </c>
      <c r="G796" s="65">
        <v>4.4000000000000004</v>
      </c>
      <c r="H796" s="97">
        <v>0</v>
      </c>
      <c r="I796" s="19"/>
    </row>
    <row r="797" spans="1:9">
      <c r="A797" s="47" t="s">
        <v>502</v>
      </c>
      <c r="B797" s="55" t="s">
        <v>64</v>
      </c>
      <c r="C797" s="55" t="s">
        <v>936</v>
      </c>
      <c r="D797" s="165" t="s">
        <v>1376</v>
      </c>
      <c r="E797" s="166"/>
      <c r="F797" s="55" t="s">
        <v>1644</v>
      </c>
      <c r="G797" s="64">
        <v>10.36</v>
      </c>
      <c r="H797" s="96">
        <v>0</v>
      </c>
      <c r="I797" s="19"/>
    </row>
    <row r="798" spans="1:9">
      <c r="A798" s="87"/>
      <c r="B798" s="54"/>
      <c r="C798" s="54" t="s">
        <v>147</v>
      </c>
      <c r="D798" s="163" t="s">
        <v>198</v>
      </c>
      <c r="E798" s="164"/>
      <c r="F798" s="54"/>
      <c r="G798" s="77"/>
      <c r="H798" s="72"/>
      <c r="I798" s="19"/>
    </row>
    <row r="799" spans="1:9" ht="12.2" customHeight="1">
      <c r="A799" s="47" t="s">
        <v>503</v>
      </c>
      <c r="B799" s="55" t="s">
        <v>60</v>
      </c>
      <c r="C799" s="55" t="s">
        <v>823</v>
      </c>
      <c r="D799" s="180" t="s">
        <v>2191</v>
      </c>
      <c r="E799" s="181"/>
      <c r="F799" s="180"/>
      <c r="G799" s="92">
        <v>0</v>
      </c>
      <c r="H799" s="96">
        <v>0</v>
      </c>
      <c r="I799" s="19"/>
    </row>
    <row r="800" spans="1:9">
      <c r="A800" s="47" t="s">
        <v>504</v>
      </c>
      <c r="B800" s="55" t="s">
        <v>60</v>
      </c>
      <c r="C800" s="55" t="s">
        <v>824</v>
      </c>
      <c r="D800" s="165" t="s">
        <v>1228</v>
      </c>
      <c r="E800" s="166"/>
      <c r="F800" s="55" t="s">
        <v>1634</v>
      </c>
      <c r="G800" s="64">
        <v>6.8309999999999996E-2</v>
      </c>
      <c r="H800" s="96">
        <v>0</v>
      </c>
      <c r="I800" s="19"/>
    </row>
    <row r="801" spans="1:9">
      <c r="A801" s="87"/>
      <c r="B801" s="54"/>
      <c r="C801" s="54" t="s">
        <v>148</v>
      </c>
      <c r="D801" s="163" t="s">
        <v>199</v>
      </c>
      <c r="E801" s="164"/>
      <c r="F801" s="54"/>
      <c r="G801" s="77"/>
      <c r="H801" s="72"/>
      <c r="I801" s="19"/>
    </row>
    <row r="802" spans="1:9" ht="12.2" customHeight="1">
      <c r="A802" s="47" t="s">
        <v>505</v>
      </c>
      <c r="B802" s="55" t="s">
        <v>60</v>
      </c>
      <c r="C802" s="55" t="s">
        <v>825</v>
      </c>
      <c r="D802" s="180" t="s">
        <v>2192</v>
      </c>
      <c r="E802" s="181"/>
      <c r="F802" s="180"/>
      <c r="G802" s="92">
        <v>0</v>
      </c>
      <c r="H802" s="96">
        <v>0</v>
      </c>
      <c r="I802" s="19"/>
    </row>
    <row r="803" spans="1:9" ht="12.2" customHeight="1">
      <c r="A803" s="47"/>
      <c r="B803" s="55"/>
      <c r="C803" s="55"/>
      <c r="D803" s="180" t="s">
        <v>2193</v>
      </c>
      <c r="E803" s="181"/>
      <c r="F803" s="180"/>
      <c r="G803" s="92">
        <v>0</v>
      </c>
      <c r="H803" s="73"/>
      <c r="I803" s="19"/>
    </row>
    <row r="804" spans="1:9">
      <c r="A804" s="47" t="s">
        <v>506</v>
      </c>
      <c r="B804" s="55" t="s">
        <v>60</v>
      </c>
      <c r="C804" s="55" t="s">
        <v>826</v>
      </c>
      <c r="D804" s="165" t="s">
        <v>1231</v>
      </c>
      <c r="E804" s="166"/>
      <c r="F804" s="55" t="s">
        <v>1632</v>
      </c>
      <c r="G804" s="64">
        <v>5.2249499999999998</v>
      </c>
      <c r="H804" s="96">
        <v>0</v>
      </c>
      <c r="I804" s="19"/>
    </row>
    <row r="805" spans="1:9" ht="12.2" customHeight="1">
      <c r="A805" s="19"/>
      <c r="D805" s="180" t="s">
        <v>2194</v>
      </c>
      <c r="E805" s="181"/>
      <c r="F805" s="181"/>
      <c r="G805" s="92">
        <v>0</v>
      </c>
      <c r="H805" s="16"/>
      <c r="I805" s="19"/>
    </row>
    <row r="806" spans="1:9" ht="12.2" customHeight="1">
      <c r="A806" s="47"/>
      <c r="B806" s="55"/>
      <c r="C806" s="55"/>
      <c r="D806" s="180" t="s">
        <v>2195</v>
      </c>
      <c r="E806" s="181"/>
      <c r="F806" s="180"/>
      <c r="G806" s="92">
        <v>0</v>
      </c>
      <c r="H806" s="73"/>
      <c r="I806" s="19"/>
    </row>
    <row r="807" spans="1:9" ht="12.2" customHeight="1">
      <c r="A807" s="47"/>
      <c r="B807" s="55"/>
      <c r="C807" s="55"/>
      <c r="D807" s="180" t="s">
        <v>2196</v>
      </c>
      <c r="E807" s="181"/>
      <c r="F807" s="180"/>
      <c r="G807" s="92">
        <v>0</v>
      </c>
      <c r="H807" s="73"/>
      <c r="I807" s="19"/>
    </row>
    <row r="808" spans="1:9" ht="12.2" customHeight="1">
      <c r="A808" s="47" t="s">
        <v>507</v>
      </c>
      <c r="B808" s="55" t="s">
        <v>60</v>
      </c>
      <c r="C808" s="55" t="s">
        <v>827</v>
      </c>
      <c r="D808" s="180" t="s">
        <v>2195</v>
      </c>
      <c r="E808" s="181"/>
      <c r="F808" s="180"/>
      <c r="G808" s="92">
        <v>0</v>
      </c>
      <c r="H808" s="96">
        <v>0</v>
      </c>
      <c r="I808" s="19"/>
    </row>
    <row r="809" spans="1:9" ht="12.2" customHeight="1">
      <c r="A809" s="47" t="s">
        <v>508</v>
      </c>
      <c r="B809" s="55" t="s">
        <v>60</v>
      </c>
      <c r="C809" s="55" t="s">
        <v>828</v>
      </c>
      <c r="D809" s="180" t="s">
        <v>2197</v>
      </c>
      <c r="E809" s="181"/>
      <c r="F809" s="180"/>
      <c r="G809" s="92">
        <v>0</v>
      </c>
      <c r="H809" s="96">
        <v>0</v>
      </c>
      <c r="I809" s="19"/>
    </row>
    <row r="810" spans="1:9">
      <c r="A810" s="48" t="s">
        <v>509</v>
      </c>
      <c r="B810" s="56" t="s">
        <v>60</v>
      </c>
      <c r="C810" s="56" t="s">
        <v>829</v>
      </c>
      <c r="D810" s="170" t="s">
        <v>1235</v>
      </c>
      <c r="E810" s="171"/>
      <c r="F810" s="56" t="s">
        <v>1632</v>
      </c>
      <c r="G810" s="65">
        <v>66</v>
      </c>
      <c r="H810" s="97">
        <v>0</v>
      </c>
      <c r="I810" s="19"/>
    </row>
    <row r="811" spans="1:9" ht="12.2" customHeight="1">
      <c r="A811" s="19"/>
      <c r="D811" s="182" t="s">
        <v>2198</v>
      </c>
      <c r="E811" s="183"/>
      <c r="F811" s="183"/>
      <c r="G811" s="93">
        <v>0</v>
      </c>
      <c r="H811" s="16"/>
      <c r="I811" s="19"/>
    </row>
    <row r="812" spans="1:9" ht="12.2" customHeight="1">
      <c r="A812" s="48"/>
      <c r="B812" s="56"/>
      <c r="C812" s="56"/>
      <c r="D812" s="182" t="s">
        <v>2199</v>
      </c>
      <c r="E812" s="183"/>
      <c r="F812" s="182"/>
      <c r="G812" s="93">
        <v>0</v>
      </c>
      <c r="H812" s="74"/>
      <c r="I812" s="19"/>
    </row>
    <row r="813" spans="1:9">
      <c r="A813" s="47" t="s">
        <v>510</v>
      </c>
      <c r="B813" s="55" t="s">
        <v>60</v>
      </c>
      <c r="C813" s="55" t="s">
        <v>830</v>
      </c>
      <c r="D813" s="165" t="s">
        <v>1236</v>
      </c>
      <c r="E813" s="166"/>
      <c r="F813" s="55" t="s">
        <v>1634</v>
      </c>
      <c r="G813" s="64">
        <v>1.19217</v>
      </c>
      <c r="H813" s="96">
        <v>0</v>
      </c>
      <c r="I813" s="19"/>
    </row>
    <row r="814" spans="1:9">
      <c r="A814" s="87"/>
      <c r="B814" s="54"/>
      <c r="C814" s="54" t="s">
        <v>149</v>
      </c>
      <c r="D814" s="163" t="s">
        <v>200</v>
      </c>
      <c r="E814" s="164"/>
      <c r="F814" s="54"/>
      <c r="G814" s="77"/>
      <c r="H814" s="72"/>
      <c r="I814" s="19"/>
    </row>
    <row r="815" spans="1:9" ht="12.2" customHeight="1">
      <c r="A815" s="47" t="s">
        <v>511</v>
      </c>
      <c r="B815" s="55" t="s">
        <v>60</v>
      </c>
      <c r="C815" s="55" t="s">
        <v>831</v>
      </c>
      <c r="D815" s="180" t="s">
        <v>2200</v>
      </c>
      <c r="E815" s="181"/>
      <c r="F815" s="180"/>
      <c r="G815" s="92">
        <v>0</v>
      </c>
      <c r="H815" s="96">
        <v>0</v>
      </c>
      <c r="I815" s="19"/>
    </row>
    <row r="816" spans="1:9" ht="12.2" customHeight="1">
      <c r="A816" s="48" t="s">
        <v>512</v>
      </c>
      <c r="B816" s="56" t="s">
        <v>60</v>
      </c>
      <c r="C816" s="56" t="s">
        <v>829</v>
      </c>
      <c r="D816" s="182" t="s">
        <v>2201</v>
      </c>
      <c r="E816" s="183"/>
      <c r="F816" s="182"/>
      <c r="G816" s="93">
        <v>0</v>
      </c>
      <c r="H816" s="97">
        <v>0</v>
      </c>
      <c r="I816" s="19"/>
    </row>
    <row r="817" spans="1:9" ht="12.2" customHeight="1">
      <c r="A817" s="47" t="s">
        <v>513</v>
      </c>
      <c r="B817" s="55" t="s">
        <v>60</v>
      </c>
      <c r="C817" s="55" t="s">
        <v>832</v>
      </c>
      <c r="D817" s="180" t="s">
        <v>2202</v>
      </c>
      <c r="E817" s="181"/>
      <c r="F817" s="180"/>
      <c r="G817" s="92">
        <v>0</v>
      </c>
      <c r="H817" s="96">
        <v>0</v>
      </c>
      <c r="I817" s="19"/>
    </row>
    <row r="818" spans="1:9">
      <c r="A818" s="48" t="s">
        <v>514</v>
      </c>
      <c r="B818" s="56" t="s">
        <v>60</v>
      </c>
      <c r="C818" s="56" t="s">
        <v>829</v>
      </c>
      <c r="D818" s="170" t="s">
        <v>1235</v>
      </c>
      <c r="E818" s="171"/>
      <c r="F818" s="56" t="s">
        <v>1632</v>
      </c>
      <c r="G818" s="65">
        <v>4.46875</v>
      </c>
      <c r="H818" s="97">
        <v>0</v>
      </c>
      <c r="I818" s="19"/>
    </row>
    <row r="819" spans="1:9" ht="12.2" customHeight="1">
      <c r="A819" s="19"/>
      <c r="D819" s="182" t="s">
        <v>2203</v>
      </c>
      <c r="E819" s="183"/>
      <c r="F819" s="183"/>
      <c r="G819" s="93">
        <v>0</v>
      </c>
      <c r="H819" s="16"/>
      <c r="I819" s="19"/>
    </row>
    <row r="820" spans="1:9" ht="12.2" customHeight="1">
      <c r="A820" s="48"/>
      <c r="B820" s="56"/>
      <c r="C820" s="56"/>
      <c r="D820" s="182" t="s">
        <v>2204</v>
      </c>
      <c r="E820" s="183"/>
      <c r="F820" s="182"/>
      <c r="G820" s="93">
        <v>0</v>
      </c>
      <c r="H820" s="74"/>
      <c r="I820" s="19"/>
    </row>
    <row r="821" spans="1:9" ht="12.2" customHeight="1">
      <c r="A821" s="48"/>
      <c r="B821" s="56"/>
      <c r="C821" s="56"/>
      <c r="D821" s="182" t="s">
        <v>2205</v>
      </c>
      <c r="E821" s="183"/>
      <c r="F821" s="182"/>
      <c r="G821" s="93">
        <v>0</v>
      </c>
      <c r="H821" s="74"/>
      <c r="I821" s="19"/>
    </row>
    <row r="822" spans="1:9">
      <c r="A822" s="47" t="s">
        <v>515</v>
      </c>
      <c r="B822" s="55" t="s">
        <v>60</v>
      </c>
      <c r="C822" s="55" t="s">
        <v>833</v>
      </c>
      <c r="D822" s="165" t="s">
        <v>1239</v>
      </c>
      <c r="E822" s="166"/>
      <c r="F822" s="55" t="s">
        <v>1634</v>
      </c>
      <c r="G822" s="64">
        <v>0.62104000000000004</v>
      </c>
      <c r="H822" s="96">
        <v>0</v>
      </c>
      <c r="I822" s="19"/>
    </row>
    <row r="823" spans="1:9">
      <c r="A823" s="87"/>
      <c r="B823" s="54"/>
      <c r="C823" s="54" t="s">
        <v>150</v>
      </c>
      <c r="D823" s="163" t="s">
        <v>201</v>
      </c>
      <c r="E823" s="164"/>
      <c r="F823" s="54"/>
      <c r="G823" s="77"/>
      <c r="H823" s="72"/>
      <c r="I823" s="19"/>
    </row>
    <row r="824" spans="1:9">
      <c r="A824" s="47" t="s">
        <v>516</v>
      </c>
      <c r="B824" s="55" t="s">
        <v>61</v>
      </c>
      <c r="C824" s="55" t="s">
        <v>860</v>
      </c>
      <c r="D824" s="165" t="s">
        <v>1267</v>
      </c>
      <c r="E824" s="166"/>
      <c r="F824" s="55" t="s">
        <v>1632</v>
      </c>
      <c r="G824" s="64">
        <v>17.399999999999999</v>
      </c>
      <c r="H824" s="96">
        <v>0</v>
      </c>
      <c r="I824" s="19"/>
    </row>
    <row r="825" spans="1:9" ht="12.2" customHeight="1">
      <c r="A825" s="19"/>
      <c r="D825" s="180" t="s">
        <v>2206</v>
      </c>
      <c r="E825" s="181"/>
      <c r="F825" s="181"/>
      <c r="G825" s="92">
        <v>0</v>
      </c>
      <c r="H825" s="16"/>
      <c r="I825" s="19"/>
    </row>
    <row r="826" spans="1:9" ht="12.2" customHeight="1">
      <c r="A826" s="47"/>
      <c r="B826" s="55"/>
      <c r="C826" s="55"/>
      <c r="D826" s="180" t="s">
        <v>2207</v>
      </c>
      <c r="E826" s="181"/>
      <c r="F826" s="180"/>
      <c r="G826" s="92">
        <v>0</v>
      </c>
      <c r="H826" s="73"/>
      <c r="I826" s="19"/>
    </row>
    <row r="827" spans="1:9" ht="12.2" customHeight="1">
      <c r="A827" s="47"/>
      <c r="B827" s="55"/>
      <c r="C827" s="55"/>
      <c r="D827" s="180" t="s">
        <v>2208</v>
      </c>
      <c r="E827" s="181"/>
      <c r="F827" s="180"/>
      <c r="G827" s="92">
        <v>0</v>
      </c>
      <c r="H827" s="73"/>
      <c r="I827" s="19"/>
    </row>
    <row r="828" spans="1:9" ht="12.2" customHeight="1">
      <c r="A828" s="47"/>
      <c r="B828" s="55"/>
      <c r="C828" s="55"/>
      <c r="D828" s="180" t="s">
        <v>2209</v>
      </c>
      <c r="E828" s="181"/>
      <c r="F828" s="180"/>
      <c r="G828" s="92">
        <v>0</v>
      </c>
      <c r="H828" s="73"/>
      <c r="I828" s="19"/>
    </row>
    <row r="829" spans="1:9" ht="12.2" customHeight="1">
      <c r="A829" s="47"/>
      <c r="B829" s="55"/>
      <c r="C829" s="55"/>
      <c r="D829" s="180" t="s">
        <v>2210</v>
      </c>
      <c r="E829" s="181"/>
      <c r="F829" s="180"/>
      <c r="G829" s="92">
        <v>0</v>
      </c>
      <c r="H829" s="73"/>
      <c r="I829" s="19"/>
    </row>
    <row r="830" spans="1:9" ht="12.2" customHeight="1">
      <c r="A830" s="47"/>
      <c r="B830" s="55"/>
      <c r="C830" s="55"/>
      <c r="D830" s="180" t="s">
        <v>2211</v>
      </c>
      <c r="E830" s="181"/>
      <c r="F830" s="180"/>
      <c r="G830" s="92">
        <v>0</v>
      </c>
      <c r="H830" s="73"/>
      <c r="I830" s="19"/>
    </row>
    <row r="831" spans="1:9" ht="12.2" customHeight="1">
      <c r="A831" s="47"/>
      <c r="B831" s="55"/>
      <c r="C831" s="55"/>
      <c r="D831" s="180" t="s">
        <v>2212</v>
      </c>
      <c r="E831" s="181"/>
      <c r="F831" s="180"/>
      <c r="G831" s="92">
        <v>0</v>
      </c>
      <c r="H831" s="73"/>
      <c r="I831" s="19"/>
    </row>
    <row r="832" spans="1:9" ht="12.2" customHeight="1">
      <c r="A832" s="47"/>
      <c r="B832" s="55"/>
      <c r="C832" s="55"/>
      <c r="D832" s="180" t="s">
        <v>2213</v>
      </c>
      <c r="E832" s="181"/>
      <c r="F832" s="180"/>
      <c r="G832" s="92">
        <v>0</v>
      </c>
      <c r="H832" s="73"/>
      <c r="I832" s="19"/>
    </row>
    <row r="833" spans="1:9" ht="12.2" customHeight="1">
      <c r="A833" s="47"/>
      <c r="B833" s="55"/>
      <c r="C833" s="55"/>
      <c r="D833" s="180" t="s">
        <v>2214</v>
      </c>
      <c r="E833" s="181"/>
      <c r="F833" s="180"/>
      <c r="G833" s="92">
        <v>0</v>
      </c>
      <c r="H833" s="73"/>
      <c r="I833" s="19"/>
    </row>
    <row r="834" spans="1:9" ht="12.2" customHeight="1">
      <c r="A834" s="47"/>
      <c r="B834" s="55"/>
      <c r="C834" s="55"/>
      <c r="D834" s="180" t="s">
        <v>2215</v>
      </c>
      <c r="E834" s="181"/>
      <c r="F834" s="180"/>
      <c r="G834" s="92">
        <v>0</v>
      </c>
      <c r="H834" s="73"/>
      <c r="I834" s="19"/>
    </row>
    <row r="835" spans="1:9">
      <c r="A835" s="87"/>
      <c r="B835" s="54"/>
      <c r="C835" s="54" t="s">
        <v>151</v>
      </c>
      <c r="D835" s="163" t="s">
        <v>202</v>
      </c>
      <c r="E835" s="164"/>
      <c r="F835" s="54"/>
      <c r="G835" s="77"/>
      <c r="H835" s="72"/>
      <c r="I835" s="19"/>
    </row>
    <row r="836" spans="1:9" ht="12.2" customHeight="1">
      <c r="A836" s="47" t="s">
        <v>517</v>
      </c>
      <c r="B836" s="55" t="s">
        <v>61</v>
      </c>
      <c r="C836" s="55" t="s">
        <v>861</v>
      </c>
      <c r="D836" s="180" t="s">
        <v>2216</v>
      </c>
      <c r="E836" s="181"/>
      <c r="F836" s="180"/>
      <c r="G836" s="92">
        <v>0</v>
      </c>
      <c r="H836" s="96">
        <v>0</v>
      </c>
      <c r="I836" s="19"/>
    </row>
    <row r="837" spans="1:9" ht="12.2" customHeight="1">
      <c r="A837" s="47" t="s">
        <v>518</v>
      </c>
      <c r="B837" s="55" t="s">
        <v>61</v>
      </c>
      <c r="C837" s="55" t="s">
        <v>862</v>
      </c>
      <c r="D837" s="180" t="s">
        <v>2216</v>
      </c>
      <c r="E837" s="181"/>
      <c r="F837" s="180"/>
      <c r="G837" s="92">
        <v>0</v>
      </c>
      <c r="H837" s="96">
        <v>0</v>
      </c>
      <c r="I837" s="19"/>
    </row>
    <row r="838" spans="1:9" ht="12.2" customHeight="1">
      <c r="A838" s="47" t="s">
        <v>519</v>
      </c>
      <c r="B838" s="55" t="s">
        <v>61</v>
      </c>
      <c r="C838" s="55" t="s">
        <v>863</v>
      </c>
      <c r="D838" s="180" t="s">
        <v>2216</v>
      </c>
      <c r="E838" s="181"/>
      <c r="F838" s="180"/>
      <c r="G838" s="92">
        <v>0</v>
      </c>
      <c r="H838" s="96">
        <v>0</v>
      </c>
      <c r="I838" s="19"/>
    </row>
    <row r="839" spans="1:9" ht="12.2" customHeight="1">
      <c r="A839" s="47" t="s">
        <v>520</v>
      </c>
      <c r="B839" s="55" t="s">
        <v>61</v>
      </c>
      <c r="C839" s="55" t="s">
        <v>864</v>
      </c>
      <c r="D839" s="180" t="s">
        <v>2216</v>
      </c>
      <c r="E839" s="181"/>
      <c r="F839" s="180"/>
      <c r="G839" s="92">
        <v>0</v>
      </c>
      <c r="H839" s="96">
        <v>0</v>
      </c>
      <c r="I839" s="19"/>
    </row>
    <row r="840" spans="1:9">
      <c r="A840" s="47" t="s">
        <v>521</v>
      </c>
      <c r="B840" s="55" t="s">
        <v>61</v>
      </c>
      <c r="C840" s="55" t="s">
        <v>865</v>
      </c>
      <c r="D840" s="165" t="s">
        <v>1274</v>
      </c>
      <c r="E840" s="166"/>
      <c r="F840" s="55" t="s">
        <v>1634</v>
      </c>
      <c r="G840" s="64">
        <v>1.8089999999999998E-2</v>
      </c>
      <c r="H840" s="96">
        <v>0</v>
      </c>
      <c r="I840" s="19"/>
    </row>
    <row r="841" spans="1:9" ht="12.2" customHeight="1">
      <c r="A841" s="47" t="s">
        <v>522</v>
      </c>
      <c r="B841" s="55" t="s">
        <v>69</v>
      </c>
      <c r="C841" s="55" t="s">
        <v>1007</v>
      </c>
      <c r="D841" s="180" t="s">
        <v>2217</v>
      </c>
      <c r="E841" s="181"/>
      <c r="F841" s="180"/>
      <c r="G841" s="92">
        <v>0</v>
      </c>
      <c r="H841" s="96">
        <v>0</v>
      </c>
      <c r="I841" s="19"/>
    </row>
    <row r="842" spans="1:9" ht="12.2" customHeight="1">
      <c r="A842" s="47"/>
      <c r="B842" s="55"/>
      <c r="C842" s="55"/>
      <c r="D842" s="180" t="s">
        <v>2218</v>
      </c>
      <c r="E842" s="181"/>
      <c r="F842" s="180"/>
      <c r="G842" s="92">
        <v>0</v>
      </c>
      <c r="H842" s="73"/>
      <c r="I842" s="19"/>
    </row>
    <row r="843" spans="1:9" ht="12.2" customHeight="1">
      <c r="A843" s="47" t="s">
        <v>523</v>
      </c>
      <c r="B843" s="55" t="s">
        <v>69</v>
      </c>
      <c r="C843" s="55" t="s">
        <v>1008</v>
      </c>
      <c r="D843" s="180" t="s">
        <v>2219</v>
      </c>
      <c r="E843" s="181"/>
      <c r="F843" s="180"/>
      <c r="G843" s="92">
        <v>0</v>
      </c>
      <c r="H843" s="96">
        <v>0</v>
      </c>
      <c r="I843" s="19"/>
    </row>
    <row r="844" spans="1:9" ht="12.2" customHeight="1">
      <c r="A844" s="47"/>
      <c r="B844" s="55"/>
      <c r="C844" s="55"/>
      <c r="D844" s="180" t="s">
        <v>2220</v>
      </c>
      <c r="E844" s="181"/>
      <c r="F844" s="180"/>
      <c r="G844" s="92">
        <v>0</v>
      </c>
      <c r="H844" s="73"/>
      <c r="I844" s="19"/>
    </row>
    <row r="845" spans="1:9" ht="12.2" customHeight="1">
      <c r="A845" s="47" t="s">
        <v>524</v>
      </c>
      <c r="B845" s="55" t="s">
        <v>69</v>
      </c>
      <c r="C845" s="55" t="s">
        <v>1008</v>
      </c>
      <c r="D845" s="180" t="s">
        <v>2221</v>
      </c>
      <c r="E845" s="181"/>
      <c r="F845" s="180"/>
      <c r="G845" s="92">
        <v>0</v>
      </c>
      <c r="H845" s="96">
        <v>0</v>
      </c>
      <c r="I845" s="19"/>
    </row>
    <row r="846" spans="1:9" ht="12.2" customHeight="1">
      <c r="A846" s="48" t="s">
        <v>525</v>
      </c>
      <c r="B846" s="56" t="s">
        <v>69</v>
      </c>
      <c r="C846" s="56" t="s">
        <v>773</v>
      </c>
      <c r="D846" s="182" t="s">
        <v>2222</v>
      </c>
      <c r="E846" s="183"/>
      <c r="F846" s="182"/>
      <c r="G846" s="93">
        <v>0</v>
      </c>
      <c r="H846" s="97">
        <v>0</v>
      </c>
      <c r="I846" s="19"/>
    </row>
    <row r="847" spans="1:9" ht="12.2" customHeight="1">
      <c r="A847" s="47" t="s">
        <v>526</v>
      </c>
      <c r="B847" s="55" t="s">
        <v>69</v>
      </c>
      <c r="C847" s="55" t="s">
        <v>1009</v>
      </c>
      <c r="D847" s="180" t="s">
        <v>2098</v>
      </c>
      <c r="E847" s="181"/>
      <c r="F847" s="180"/>
      <c r="G847" s="92">
        <v>0</v>
      </c>
      <c r="H847" s="96">
        <v>0</v>
      </c>
      <c r="I847" s="19"/>
    </row>
    <row r="848" spans="1:9" ht="12.2" customHeight="1">
      <c r="A848" s="47" t="s">
        <v>527</v>
      </c>
      <c r="B848" s="55" t="s">
        <v>69</v>
      </c>
      <c r="C848" s="55" t="s">
        <v>1010</v>
      </c>
      <c r="D848" s="180" t="s">
        <v>2223</v>
      </c>
      <c r="E848" s="181"/>
      <c r="F848" s="180"/>
      <c r="G848" s="92">
        <v>0</v>
      </c>
      <c r="H848" s="96">
        <v>0</v>
      </c>
      <c r="I848" s="19"/>
    </row>
    <row r="849" spans="1:9">
      <c r="A849" s="47" t="s">
        <v>528</v>
      </c>
      <c r="B849" s="55" t="s">
        <v>69</v>
      </c>
      <c r="C849" s="55" t="s">
        <v>865</v>
      </c>
      <c r="D849" s="165" t="s">
        <v>1274</v>
      </c>
      <c r="E849" s="166"/>
      <c r="F849" s="55" t="s">
        <v>1634</v>
      </c>
      <c r="G849" s="64">
        <v>2.9780000000000001E-2</v>
      </c>
      <c r="H849" s="96">
        <v>0</v>
      </c>
      <c r="I849" s="19"/>
    </row>
    <row r="850" spans="1:9" ht="12.2" customHeight="1">
      <c r="A850" s="47" t="s">
        <v>529</v>
      </c>
      <c r="B850" s="55" t="s">
        <v>71</v>
      </c>
      <c r="C850" s="55" t="s">
        <v>1037</v>
      </c>
      <c r="D850" s="180" t="s">
        <v>2224</v>
      </c>
      <c r="E850" s="181"/>
      <c r="F850" s="180"/>
      <c r="G850" s="92">
        <v>0</v>
      </c>
      <c r="H850" s="96">
        <v>0</v>
      </c>
      <c r="I850" s="19"/>
    </row>
    <row r="851" spans="1:9" ht="12.2" customHeight="1">
      <c r="A851" s="48" t="s">
        <v>530</v>
      </c>
      <c r="B851" s="56" t="s">
        <v>71</v>
      </c>
      <c r="C851" s="56" t="s">
        <v>1038</v>
      </c>
      <c r="D851" s="182" t="s">
        <v>2225</v>
      </c>
      <c r="E851" s="183"/>
      <c r="F851" s="182"/>
      <c r="G851" s="93">
        <v>0</v>
      </c>
      <c r="H851" s="97">
        <v>0</v>
      </c>
      <c r="I851" s="19"/>
    </row>
    <row r="852" spans="1:9" ht="12.2" customHeight="1">
      <c r="A852" s="47" t="s">
        <v>531</v>
      </c>
      <c r="B852" s="55" t="s">
        <v>71</v>
      </c>
      <c r="C852" s="55" t="s">
        <v>1039</v>
      </c>
      <c r="D852" s="180" t="s">
        <v>2226</v>
      </c>
      <c r="E852" s="181"/>
      <c r="F852" s="180"/>
      <c r="G852" s="92">
        <v>0</v>
      </c>
      <c r="H852" s="96">
        <v>0</v>
      </c>
      <c r="I852" s="19"/>
    </row>
    <row r="853" spans="1:9" ht="12.2" customHeight="1">
      <c r="A853" s="47" t="s">
        <v>532</v>
      </c>
      <c r="B853" s="55" t="s">
        <v>71</v>
      </c>
      <c r="C853" s="55" t="s">
        <v>1040</v>
      </c>
      <c r="D853" s="180" t="s">
        <v>1970</v>
      </c>
      <c r="E853" s="181"/>
      <c r="F853" s="180"/>
      <c r="G853" s="92">
        <v>0</v>
      </c>
      <c r="H853" s="96">
        <v>0</v>
      </c>
      <c r="I853" s="19"/>
    </row>
    <row r="854" spans="1:9" ht="12.2" customHeight="1">
      <c r="A854" s="47" t="s">
        <v>533</v>
      </c>
      <c r="B854" s="55" t="s">
        <v>71</v>
      </c>
      <c r="C854" s="55" t="s">
        <v>1041</v>
      </c>
      <c r="D854" s="180" t="s">
        <v>2227</v>
      </c>
      <c r="E854" s="181"/>
      <c r="F854" s="180"/>
      <c r="G854" s="92">
        <v>0</v>
      </c>
      <c r="H854" s="96">
        <v>0</v>
      </c>
      <c r="I854" s="19"/>
    </row>
    <row r="855" spans="1:9" ht="12.2" customHeight="1">
      <c r="A855" s="48" t="s">
        <v>534</v>
      </c>
      <c r="B855" s="56" t="s">
        <v>71</v>
      </c>
      <c r="C855" s="56" t="s">
        <v>1042</v>
      </c>
      <c r="D855" s="182" t="s">
        <v>2228</v>
      </c>
      <c r="E855" s="183"/>
      <c r="F855" s="182"/>
      <c r="G855" s="93">
        <v>0</v>
      </c>
      <c r="H855" s="97">
        <v>0</v>
      </c>
      <c r="I855" s="19"/>
    </row>
    <row r="856" spans="1:9">
      <c r="A856" s="48" t="s">
        <v>535</v>
      </c>
      <c r="B856" s="56" t="s">
        <v>71</v>
      </c>
      <c r="C856" s="56" t="s">
        <v>1043</v>
      </c>
      <c r="D856" s="170" t="s">
        <v>1546</v>
      </c>
      <c r="E856" s="171"/>
      <c r="F856" s="56" t="s">
        <v>1631</v>
      </c>
      <c r="G856" s="65">
        <v>5</v>
      </c>
      <c r="H856" s="97">
        <v>0</v>
      </c>
      <c r="I856" s="19"/>
    </row>
    <row r="857" spans="1:9">
      <c r="A857" s="47" t="s">
        <v>536</v>
      </c>
      <c r="B857" s="55" t="s">
        <v>71</v>
      </c>
      <c r="C857" s="55" t="s">
        <v>865</v>
      </c>
      <c r="D857" s="165" t="s">
        <v>1274</v>
      </c>
      <c r="E857" s="166"/>
      <c r="F857" s="55" t="s">
        <v>1634</v>
      </c>
      <c r="G857" s="64">
        <v>4.7792199999999996</v>
      </c>
      <c r="H857" s="96">
        <v>0</v>
      </c>
      <c r="I857" s="19"/>
    </row>
    <row r="858" spans="1:9">
      <c r="A858" s="87"/>
      <c r="B858" s="54"/>
      <c r="C858" s="54" t="s">
        <v>152</v>
      </c>
      <c r="D858" s="163" t="s">
        <v>203</v>
      </c>
      <c r="E858" s="164"/>
      <c r="F858" s="54"/>
      <c r="G858" s="77"/>
      <c r="H858" s="72"/>
      <c r="I858" s="19"/>
    </row>
    <row r="859" spans="1:9">
      <c r="A859" s="47" t="s">
        <v>537</v>
      </c>
      <c r="B859" s="55" t="s">
        <v>61</v>
      </c>
      <c r="C859" s="55" t="s">
        <v>866</v>
      </c>
      <c r="D859" s="165" t="s">
        <v>1275</v>
      </c>
      <c r="E859" s="166"/>
      <c r="F859" s="55" t="s">
        <v>1633</v>
      </c>
      <c r="G859" s="64">
        <v>420</v>
      </c>
      <c r="H859" s="96">
        <v>0</v>
      </c>
      <c r="I859" s="19"/>
    </row>
    <row r="860" spans="1:9" ht="12.2" customHeight="1">
      <c r="A860" s="19"/>
      <c r="D860" s="180" t="s">
        <v>1810</v>
      </c>
      <c r="E860" s="181"/>
      <c r="F860" s="181"/>
      <c r="G860" s="92">
        <v>0</v>
      </c>
      <c r="H860" s="16"/>
      <c r="I860" s="19"/>
    </row>
    <row r="861" spans="1:9" ht="12.2" customHeight="1">
      <c r="A861" s="47"/>
      <c r="B861" s="55"/>
      <c r="C861" s="55"/>
      <c r="D861" s="180" t="s">
        <v>1811</v>
      </c>
      <c r="E861" s="181"/>
      <c r="F861" s="180"/>
      <c r="G861" s="92">
        <v>0</v>
      </c>
      <c r="H861" s="73"/>
      <c r="I861" s="19"/>
    </row>
    <row r="862" spans="1:9" ht="12.2" customHeight="1">
      <c r="A862" s="47"/>
      <c r="B862" s="55"/>
      <c r="C862" s="55"/>
      <c r="D862" s="180" t="s">
        <v>1812</v>
      </c>
      <c r="E862" s="181"/>
      <c r="F862" s="180"/>
      <c r="G862" s="92">
        <v>0</v>
      </c>
      <c r="H862" s="73"/>
      <c r="I862" s="19"/>
    </row>
    <row r="863" spans="1:9" ht="12.2" customHeight="1">
      <c r="A863" s="47"/>
      <c r="B863" s="55"/>
      <c r="C863" s="55"/>
      <c r="D863" s="180" t="s">
        <v>1813</v>
      </c>
      <c r="E863" s="181"/>
      <c r="F863" s="180"/>
      <c r="G863" s="92">
        <v>0</v>
      </c>
      <c r="H863" s="73"/>
      <c r="I863" s="19"/>
    </row>
    <row r="864" spans="1:9" ht="12.2" customHeight="1">
      <c r="A864" s="47"/>
      <c r="B864" s="55"/>
      <c r="C864" s="55"/>
      <c r="D864" s="180" t="s">
        <v>1814</v>
      </c>
      <c r="E864" s="181"/>
      <c r="F864" s="180"/>
      <c r="G864" s="92">
        <v>0</v>
      </c>
      <c r="H864" s="73"/>
      <c r="I864" s="19"/>
    </row>
    <row r="865" spans="1:9" ht="12.2" customHeight="1">
      <c r="A865" s="47"/>
      <c r="B865" s="55"/>
      <c r="C865" s="55"/>
      <c r="D865" s="180" t="s">
        <v>1815</v>
      </c>
      <c r="E865" s="181"/>
      <c r="F865" s="180"/>
      <c r="G865" s="92">
        <v>0</v>
      </c>
      <c r="H865" s="73"/>
      <c r="I865" s="19"/>
    </row>
    <row r="866" spans="1:9" ht="12.2" customHeight="1">
      <c r="A866" s="47"/>
      <c r="B866" s="55"/>
      <c r="C866" s="55"/>
      <c r="D866" s="180" t="s">
        <v>1816</v>
      </c>
      <c r="E866" s="181"/>
      <c r="F866" s="180"/>
      <c r="G866" s="92">
        <v>0</v>
      </c>
      <c r="H866" s="73"/>
      <c r="I866" s="19"/>
    </row>
    <row r="867" spans="1:9" ht="12.2" customHeight="1">
      <c r="A867" s="47"/>
      <c r="B867" s="55"/>
      <c r="C867" s="55"/>
      <c r="D867" s="180" t="s">
        <v>1817</v>
      </c>
      <c r="E867" s="181"/>
      <c r="F867" s="180"/>
      <c r="G867" s="92">
        <v>0</v>
      </c>
      <c r="H867" s="73"/>
      <c r="I867" s="19"/>
    </row>
    <row r="868" spans="1:9" ht="12.2" customHeight="1">
      <c r="A868" s="47"/>
      <c r="B868" s="55"/>
      <c r="C868" s="55"/>
      <c r="D868" s="180" t="s">
        <v>1818</v>
      </c>
      <c r="E868" s="181"/>
      <c r="F868" s="180"/>
      <c r="G868" s="92">
        <v>0</v>
      </c>
      <c r="H868" s="73"/>
      <c r="I868" s="19"/>
    </row>
    <row r="869" spans="1:9" ht="12.2" customHeight="1">
      <c r="A869" s="47"/>
      <c r="B869" s="55"/>
      <c r="C869" s="55"/>
      <c r="D869" s="180" t="s">
        <v>1819</v>
      </c>
      <c r="E869" s="181"/>
      <c r="F869" s="180"/>
      <c r="G869" s="92">
        <v>0</v>
      </c>
      <c r="H869" s="73"/>
      <c r="I869" s="19"/>
    </row>
    <row r="870" spans="1:9">
      <c r="A870" s="47" t="s">
        <v>538</v>
      </c>
      <c r="B870" s="55" t="s">
        <v>61</v>
      </c>
      <c r="C870" s="55" t="s">
        <v>867</v>
      </c>
      <c r="D870" s="165" t="s">
        <v>1277</v>
      </c>
      <c r="E870" s="166"/>
      <c r="F870" s="55" t="s">
        <v>1631</v>
      </c>
      <c r="G870" s="64">
        <v>43</v>
      </c>
      <c r="H870" s="96">
        <v>0</v>
      </c>
      <c r="I870" s="19"/>
    </row>
    <row r="871" spans="1:9" ht="12.2" customHeight="1">
      <c r="A871" s="19"/>
      <c r="D871" s="180" t="s">
        <v>2229</v>
      </c>
      <c r="E871" s="181"/>
      <c r="F871" s="181"/>
      <c r="G871" s="92">
        <v>0</v>
      </c>
      <c r="H871" s="16"/>
      <c r="I871" s="19"/>
    </row>
    <row r="872" spans="1:9" ht="12.2" customHeight="1">
      <c r="A872" s="47"/>
      <c r="B872" s="55"/>
      <c r="C872" s="55"/>
      <c r="D872" s="180" t="s">
        <v>2230</v>
      </c>
      <c r="E872" s="181"/>
      <c r="F872" s="180"/>
      <c r="G872" s="92">
        <v>0</v>
      </c>
      <c r="H872" s="73"/>
      <c r="I872" s="19"/>
    </row>
    <row r="873" spans="1:9" ht="12.2" customHeight="1">
      <c r="A873" s="47"/>
      <c r="B873" s="55"/>
      <c r="C873" s="55"/>
      <c r="D873" s="180" t="s">
        <v>2231</v>
      </c>
      <c r="E873" s="181"/>
      <c r="F873" s="180"/>
      <c r="G873" s="92">
        <v>0</v>
      </c>
      <c r="H873" s="73"/>
      <c r="I873" s="19"/>
    </row>
    <row r="874" spans="1:9" ht="12.2" customHeight="1">
      <c r="A874" s="47"/>
      <c r="B874" s="55"/>
      <c r="C874" s="55"/>
      <c r="D874" s="180" t="s">
        <v>2232</v>
      </c>
      <c r="E874" s="181"/>
      <c r="F874" s="180"/>
      <c r="G874" s="92">
        <v>0</v>
      </c>
      <c r="H874" s="73"/>
      <c r="I874" s="19"/>
    </row>
    <row r="875" spans="1:9">
      <c r="A875" s="48" t="s">
        <v>539</v>
      </c>
      <c r="B875" s="56" t="s">
        <v>61</v>
      </c>
      <c r="C875" s="56" t="s">
        <v>868</v>
      </c>
      <c r="D875" s="170" t="s">
        <v>1278</v>
      </c>
      <c r="E875" s="171"/>
      <c r="F875" s="56" t="s">
        <v>1636</v>
      </c>
      <c r="G875" s="65">
        <v>1</v>
      </c>
      <c r="H875" s="97">
        <v>0</v>
      </c>
      <c r="I875" s="19"/>
    </row>
    <row r="876" spans="1:9">
      <c r="A876" s="48" t="s">
        <v>540</v>
      </c>
      <c r="B876" s="56" t="s">
        <v>61</v>
      </c>
      <c r="C876" s="56" t="s">
        <v>869</v>
      </c>
      <c r="D876" s="170" t="s">
        <v>1279</v>
      </c>
      <c r="E876" s="171"/>
      <c r="F876" s="56" t="s">
        <v>1636</v>
      </c>
      <c r="G876" s="65">
        <v>1</v>
      </c>
      <c r="H876" s="97">
        <v>0</v>
      </c>
      <c r="I876" s="19"/>
    </row>
    <row r="877" spans="1:9">
      <c r="A877" s="48" t="s">
        <v>541</v>
      </c>
      <c r="B877" s="56" t="s">
        <v>61</v>
      </c>
      <c r="C877" s="56" t="s">
        <v>870</v>
      </c>
      <c r="D877" s="170" t="s">
        <v>1280</v>
      </c>
      <c r="E877" s="171"/>
      <c r="F877" s="56" t="s">
        <v>1636</v>
      </c>
      <c r="G877" s="65">
        <v>40</v>
      </c>
      <c r="H877" s="97">
        <v>0</v>
      </c>
      <c r="I877" s="19"/>
    </row>
    <row r="878" spans="1:9">
      <c r="A878" s="48" t="s">
        <v>542</v>
      </c>
      <c r="B878" s="56" t="s">
        <v>61</v>
      </c>
      <c r="C878" s="56" t="s">
        <v>871</v>
      </c>
      <c r="D878" s="170" t="s">
        <v>1281</v>
      </c>
      <c r="E878" s="171"/>
      <c r="F878" s="56" t="s">
        <v>1636</v>
      </c>
      <c r="G878" s="65">
        <v>1</v>
      </c>
      <c r="H878" s="97">
        <v>0</v>
      </c>
      <c r="I878" s="19"/>
    </row>
    <row r="879" spans="1:9">
      <c r="A879" s="48" t="s">
        <v>543</v>
      </c>
      <c r="B879" s="56" t="s">
        <v>61</v>
      </c>
      <c r="C879" s="56" t="s">
        <v>872</v>
      </c>
      <c r="D879" s="170" t="s">
        <v>1282</v>
      </c>
      <c r="E879" s="171"/>
      <c r="F879" s="56" t="s">
        <v>1636</v>
      </c>
      <c r="G879" s="65">
        <v>40</v>
      </c>
      <c r="H879" s="97">
        <v>0</v>
      </c>
      <c r="I879" s="19"/>
    </row>
    <row r="880" spans="1:9">
      <c r="A880" s="47" t="s">
        <v>544</v>
      </c>
      <c r="B880" s="55" t="s">
        <v>61</v>
      </c>
      <c r="C880" s="55" t="s">
        <v>873</v>
      </c>
      <c r="D880" s="165" t="s">
        <v>1283</v>
      </c>
      <c r="E880" s="166"/>
      <c r="F880" s="55" t="s">
        <v>1631</v>
      </c>
      <c r="G880" s="64">
        <v>13</v>
      </c>
      <c r="H880" s="96">
        <v>0</v>
      </c>
      <c r="I880" s="19"/>
    </row>
    <row r="881" spans="1:9" ht="12.2" customHeight="1">
      <c r="A881" s="19"/>
      <c r="D881" s="180" t="s">
        <v>2233</v>
      </c>
      <c r="E881" s="181"/>
      <c r="F881" s="181"/>
      <c r="G881" s="92">
        <v>0</v>
      </c>
      <c r="H881" s="16"/>
      <c r="I881" s="19"/>
    </row>
    <row r="882" spans="1:9" ht="12.2" customHeight="1">
      <c r="A882" s="47"/>
      <c r="B882" s="55"/>
      <c r="C882" s="55"/>
      <c r="D882" s="180" t="s">
        <v>2234</v>
      </c>
      <c r="E882" s="181"/>
      <c r="F882" s="180"/>
      <c r="G882" s="92">
        <v>0</v>
      </c>
      <c r="H882" s="73"/>
      <c r="I882" s="19"/>
    </row>
    <row r="883" spans="1:9" ht="12.2" customHeight="1">
      <c r="A883" s="47"/>
      <c r="B883" s="55"/>
      <c r="C883" s="55"/>
      <c r="D883" s="180" t="s">
        <v>2235</v>
      </c>
      <c r="E883" s="181"/>
      <c r="F883" s="180"/>
      <c r="G883" s="92">
        <v>0</v>
      </c>
      <c r="H883" s="73"/>
      <c r="I883" s="19"/>
    </row>
    <row r="884" spans="1:9">
      <c r="A884" s="48" t="s">
        <v>545</v>
      </c>
      <c r="B884" s="56" t="s">
        <v>61</v>
      </c>
      <c r="C884" s="56" t="s">
        <v>874</v>
      </c>
      <c r="D884" s="170" t="s">
        <v>1284</v>
      </c>
      <c r="E884" s="171"/>
      <c r="F884" s="56" t="s">
        <v>1636</v>
      </c>
      <c r="G884" s="65">
        <v>8</v>
      </c>
      <c r="H884" s="97">
        <v>0</v>
      </c>
      <c r="I884" s="19"/>
    </row>
    <row r="885" spans="1:9">
      <c r="A885" s="48" t="s">
        <v>546</v>
      </c>
      <c r="B885" s="56" t="s">
        <v>61</v>
      </c>
      <c r="C885" s="56" t="s">
        <v>875</v>
      </c>
      <c r="D885" s="170" t="s">
        <v>1285</v>
      </c>
      <c r="E885" s="171"/>
      <c r="F885" s="56" t="s">
        <v>1636</v>
      </c>
      <c r="G885" s="65">
        <v>4</v>
      </c>
      <c r="H885" s="97">
        <v>0</v>
      </c>
      <c r="I885" s="19"/>
    </row>
    <row r="886" spans="1:9">
      <c r="A886" s="48" t="s">
        <v>547</v>
      </c>
      <c r="B886" s="56" t="s">
        <v>61</v>
      </c>
      <c r="C886" s="56" t="s">
        <v>876</v>
      </c>
      <c r="D886" s="170" t="s">
        <v>1286</v>
      </c>
      <c r="E886" s="171"/>
      <c r="F886" s="56" t="s">
        <v>1636</v>
      </c>
      <c r="G886" s="65">
        <v>1</v>
      </c>
      <c r="H886" s="97">
        <v>0</v>
      </c>
      <c r="I886" s="19"/>
    </row>
    <row r="887" spans="1:9" ht="12.2" customHeight="1">
      <c r="A887" s="47" t="s">
        <v>548</v>
      </c>
      <c r="B887" s="55" t="s">
        <v>61</v>
      </c>
      <c r="C887" s="55" t="s">
        <v>877</v>
      </c>
      <c r="D887" s="180" t="s">
        <v>2236</v>
      </c>
      <c r="E887" s="181"/>
      <c r="F887" s="180"/>
      <c r="G887" s="92">
        <v>0</v>
      </c>
      <c r="H887" s="96">
        <v>0</v>
      </c>
      <c r="I887" s="19"/>
    </row>
    <row r="888" spans="1:9" ht="12.2" customHeight="1">
      <c r="A888" s="47"/>
      <c r="B888" s="55"/>
      <c r="C888" s="55"/>
      <c r="D888" s="180" t="s">
        <v>2237</v>
      </c>
      <c r="E888" s="181"/>
      <c r="F888" s="180"/>
      <c r="G888" s="92">
        <v>0</v>
      </c>
      <c r="H888" s="73"/>
      <c r="I888" s="19"/>
    </row>
    <row r="889" spans="1:9">
      <c r="A889" s="48" t="s">
        <v>549</v>
      </c>
      <c r="B889" s="56" t="s">
        <v>61</v>
      </c>
      <c r="C889" s="56" t="s">
        <v>878</v>
      </c>
      <c r="D889" s="170" t="s">
        <v>1288</v>
      </c>
      <c r="E889" s="171"/>
      <c r="F889" s="56" t="s">
        <v>1636</v>
      </c>
      <c r="G889" s="65">
        <v>4</v>
      </c>
      <c r="H889" s="97">
        <v>0</v>
      </c>
      <c r="I889" s="19"/>
    </row>
    <row r="890" spans="1:9">
      <c r="A890" s="48" t="s">
        <v>550</v>
      </c>
      <c r="B890" s="56" t="s">
        <v>61</v>
      </c>
      <c r="C890" s="56" t="s">
        <v>879</v>
      </c>
      <c r="D890" s="170" t="s">
        <v>1289</v>
      </c>
      <c r="E890" s="171"/>
      <c r="F890" s="56" t="s">
        <v>1636</v>
      </c>
      <c r="G890" s="65">
        <v>4</v>
      </c>
      <c r="H890" s="97">
        <v>0</v>
      </c>
      <c r="I890" s="19"/>
    </row>
    <row r="891" spans="1:9" ht="12.2" customHeight="1">
      <c r="A891" s="47" t="s">
        <v>551</v>
      </c>
      <c r="B891" s="55" t="s">
        <v>61</v>
      </c>
      <c r="C891" s="55" t="s">
        <v>880</v>
      </c>
      <c r="D891" s="180" t="s">
        <v>2238</v>
      </c>
      <c r="E891" s="181"/>
      <c r="F891" s="180"/>
      <c r="G891" s="92">
        <v>0</v>
      </c>
      <c r="H891" s="96">
        <v>0</v>
      </c>
      <c r="I891" s="19"/>
    </row>
    <row r="892" spans="1:9">
      <c r="A892" s="48" t="s">
        <v>552</v>
      </c>
      <c r="B892" s="56" t="s">
        <v>61</v>
      </c>
      <c r="C892" s="56" t="s">
        <v>881</v>
      </c>
      <c r="D892" s="170" t="s">
        <v>1291</v>
      </c>
      <c r="E892" s="171"/>
      <c r="F892" s="56" t="s">
        <v>1636</v>
      </c>
      <c r="G892" s="65">
        <v>4</v>
      </c>
      <c r="H892" s="97">
        <v>0</v>
      </c>
      <c r="I892" s="19"/>
    </row>
    <row r="893" spans="1:9">
      <c r="A893" s="48" t="s">
        <v>553</v>
      </c>
      <c r="B893" s="56" t="s">
        <v>61</v>
      </c>
      <c r="C893" s="56" t="s">
        <v>872</v>
      </c>
      <c r="D893" s="170" t="s">
        <v>1282</v>
      </c>
      <c r="E893" s="171"/>
      <c r="F893" s="56" t="s">
        <v>1636</v>
      </c>
      <c r="G893" s="65">
        <v>4</v>
      </c>
      <c r="H893" s="97">
        <v>0</v>
      </c>
      <c r="I893" s="19"/>
    </row>
    <row r="894" spans="1:9">
      <c r="A894" s="47" t="s">
        <v>554</v>
      </c>
      <c r="B894" s="55" t="s">
        <v>61</v>
      </c>
      <c r="C894" s="55" t="s">
        <v>882</v>
      </c>
      <c r="D894" s="165" t="s">
        <v>1292</v>
      </c>
      <c r="E894" s="166"/>
      <c r="F894" s="55" t="s">
        <v>1631</v>
      </c>
      <c r="G894" s="64">
        <v>42</v>
      </c>
      <c r="H894" s="96">
        <v>0</v>
      </c>
      <c r="I894" s="19"/>
    </row>
    <row r="895" spans="1:9" ht="12.2" customHeight="1">
      <c r="A895" s="19"/>
      <c r="D895" s="180" t="s">
        <v>2230</v>
      </c>
      <c r="E895" s="181"/>
      <c r="F895" s="181"/>
      <c r="G895" s="92">
        <v>0</v>
      </c>
      <c r="H895" s="16"/>
      <c r="I895" s="19"/>
    </row>
    <row r="896" spans="1:9" ht="12.2" customHeight="1">
      <c r="A896" s="47"/>
      <c r="B896" s="55"/>
      <c r="C896" s="55"/>
      <c r="D896" s="180" t="s">
        <v>2231</v>
      </c>
      <c r="E896" s="181"/>
      <c r="F896" s="180"/>
      <c r="G896" s="92">
        <v>0</v>
      </c>
      <c r="H896" s="73"/>
      <c r="I896" s="19"/>
    </row>
    <row r="897" spans="1:9" ht="12.2" customHeight="1">
      <c r="A897" s="47"/>
      <c r="B897" s="55"/>
      <c r="C897" s="55"/>
      <c r="D897" s="180" t="s">
        <v>2232</v>
      </c>
      <c r="E897" s="181"/>
      <c r="F897" s="180"/>
      <c r="G897" s="92">
        <v>0</v>
      </c>
      <c r="H897" s="73"/>
      <c r="I897" s="19"/>
    </row>
    <row r="898" spans="1:9" ht="12.2" customHeight="1">
      <c r="A898" s="48" t="s">
        <v>555</v>
      </c>
      <c r="B898" s="56" t="s">
        <v>61</v>
      </c>
      <c r="C898" s="56" t="s">
        <v>883</v>
      </c>
      <c r="D898" s="182" t="s">
        <v>2239</v>
      </c>
      <c r="E898" s="183"/>
      <c r="F898" s="182"/>
      <c r="G898" s="93">
        <v>0</v>
      </c>
      <c r="H898" s="97">
        <v>0</v>
      </c>
      <c r="I898" s="19"/>
    </row>
    <row r="899" spans="1:9" ht="12.2" customHeight="1">
      <c r="A899" s="48" t="s">
        <v>556</v>
      </c>
      <c r="B899" s="56" t="s">
        <v>61</v>
      </c>
      <c r="C899" s="56" t="s">
        <v>884</v>
      </c>
      <c r="D899" s="182" t="s">
        <v>2240</v>
      </c>
      <c r="E899" s="183"/>
      <c r="F899" s="182"/>
      <c r="G899" s="93">
        <v>0</v>
      </c>
      <c r="H899" s="97">
        <v>0</v>
      </c>
      <c r="I899" s="19"/>
    </row>
    <row r="900" spans="1:9" ht="12.2" customHeight="1">
      <c r="A900" s="48" t="s">
        <v>557</v>
      </c>
      <c r="B900" s="56" t="s">
        <v>61</v>
      </c>
      <c r="C900" s="56" t="s">
        <v>885</v>
      </c>
      <c r="D900" s="182" t="s">
        <v>1982</v>
      </c>
      <c r="E900" s="183"/>
      <c r="F900" s="182"/>
      <c r="G900" s="93">
        <v>0</v>
      </c>
      <c r="H900" s="97">
        <v>0</v>
      </c>
      <c r="I900" s="19"/>
    </row>
    <row r="901" spans="1:9">
      <c r="A901" s="48" t="s">
        <v>558</v>
      </c>
      <c r="B901" s="56" t="s">
        <v>61</v>
      </c>
      <c r="C901" s="56" t="s">
        <v>886</v>
      </c>
      <c r="D901" s="170" t="s">
        <v>1296</v>
      </c>
      <c r="E901" s="171"/>
      <c r="F901" s="56" t="s">
        <v>1639</v>
      </c>
      <c r="G901" s="65">
        <v>42</v>
      </c>
      <c r="H901" s="97">
        <v>0</v>
      </c>
      <c r="I901" s="19"/>
    </row>
    <row r="902" spans="1:9" ht="12.2" customHeight="1">
      <c r="A902" s="19"/>
      <c r="D902" s="182" t="s">
        <v>2230</v>
      </c>
      <c r="E902" s="183"/>
      <c r="F902" s="183"/>
      <c r="G902" s="93">
        <v>0</v>
      </c>
      <c r="H902" s="16"/>
      <c r="I902" s="19"/>
    </row>
    <row r="903" spans="1:9" ht="12.2" customHeight="1">
      <c r="A903" s="48"/>
      <c r="B903" s="56"/>
      <c r="C903" s="56"/>
      <c r="D903" s="182" t="s">
        <v>2231</v>
      </c>
      <c r="E903" s="183"/>
      <c r="F903" s="182"/>
      <c r="G903" s="93">
        <v>0</v>
      </c>
      <c r="H903" s="74"/>
      <c r="I903" s="19"/>
    </row>
    <row r="904" spans="1:9" ht="12.2" customHeight="1">
      <c r="A904" s="48"/>
      <c r="B904" s="56"/>
      <c r="C904" s="56"/>
      <c r="D904" s="182" t="s">
        <v>2232</v>
      </c>
      <c r="E904" s="183"/>
      <c r="F904" s="182"/>
      <c r="G904" s="93">
        <v>0</v>
      </c>
      <c r="H904" s="74"/>
      <c r="I904" s="19"/>
    </row>
    <row r="905" spans="1:9" ht="12.2" customHeight="1">
      <c r="A905" s="47" t="s">
        <v>559</v>
      </c>
      <c r="B905" s="55" t="s">
        <v>61</v>
      </c>
      <c r="C905" s="55" t="s">
        <v>887</v>
      </c>
      <c r="D905" s="180" t="s">
        <v>2229</v>
      </c>
      <c r="E905" s="181"/>
      <c r="F905" s="180"/>
      <c r="G905" s="92">
        <v>0</v>
      </c>
      <c r="H905" s="96">
        <v>0</v>
      </c>
      <c r="I905" s="19"/>
    </row>
    <row r="906" spans="1:9" ht="12.2" customHeight="1">
      <c r="A906" s="48" t="s">
        <v>560</v>
      </c>
      <c r="B906" s="56" t="s">
        <v>61</v>
      </c>
      <c r="C906" s="56" t="s">
        <v>883</v>
      </c>
      <c r="D906" s="182" t="s">
        <v>2241</v>
      </c>
      <c r="E906" s="183"/>
      <c r="F906" s="182"/>
      <c r="G906" s="93">
        <v>0</v>
      </c>
      <c r="H906" s="97">
        <v>0</v>
      </c>
      <c r="I906" s="19"/>
    </row>
    <row r="907" spans="1:9" ht="12.2" customHeight="1">
      <c r="A907" s="48" t="s">
        <v>561</v>
      </c>
      <c r="B907" s="56" t="s">
        <v>61</v>
      </c>
      <c r="C907" s="56" t="s">
        <v>886</v>
      </c>
      <c r="D907" s="182" t="s">
        <v>2229</v>
      </c>
      <c r="E907" s="183"/>
      <c r="F907" s="182"/>
      <c r="G907" s="93">
        <v>0</v>
      </c>
      <c r="H907" s="97">
        <v>0</v>
      </c>
      <c r="I907" s="19"/>
    </row>
    <row r="908" spans="1:9" ht="12.2" customHeight="1">
      <c r="A908" s="47" t="s">
        <v>562</v>
      </c>
      <c r="B908" s="55" t="s">
        <v>61</v>
      </c>
      <c r="C908" s="55" t="s">
        <v>888</v>
      </c>
      <c r="D908" s="180" t="s">
        <v>2234</v>
      </c>
      <c r="E908" s="181"/>
      <c r="F908" s="180"/>
      <c r="G908" s="92">
        <v>0</v>
      </c>
      <c r="H908" s="96">
        <v>0</v>
      </c>
      <c r="I908" s="19"/>
    </row>
    <row r="909" spans="1:9" ht="12.2" customHeight="1">
      <c r="A909" s="47"/>
      <c r="B909" s="55"/>
      <c r="C909" s="55"/>
      <c r="D909" s="180" t="s">
        <v>2235</v>
      </c>
      <c r="E909" s="181"/>
      <c r="F909" s="180"/>
      <c r="G909" s="92">
        <v>0</v>
      </c>
      <c r="H909" s="73"/>
      <c r="I909" s="19"/>
    </row>
    <row r="910" spans="1:9">
      <c r="A910" s="48" t="s">
        <v>563</v>
      </c>
      <c r="B910" s="56" t="s">
        <v>61</v>
      </c>
      <c r="C910" s="56" t="s">
        <v>885</v>
      </c>
      <c r="D910" s="170" t="s">
        <v>1295</v>
      </c>
      <c r="E910" s="171"/>
      <c r="F910" s="56" t="s">
        <v>1633</v>
      </c>
      <c r="G910" s="65">
        <v>11.4</v>
      </c>
      <c r="H910" s="97">
        <v>0</v>
      </c>
      <c r="I910" s="19"/>
    </row>
    <row r="911" spans="1:9" ht="12.2" customHeight="1">
      <c r="A911" s="19"/>
      <c r="D911" s="182" t="s">
        <v>1980</v>
      </c>
      <c r="E911" s="183"/>
      <c r="F911" s="183"/>
      <c r="G911" s="93">
        <v>0</v>
      </c>
      <c r="H911" s="16"/>
      <c r="I911" s="19"/>
    </row>
    <row r="912" spans="1:9" ht="12.2" customHeight="1">
      <c r="A912" s="48"/>
      <c r="B912" s="56"/>
      <c r="C912" s="56"/>
      <c r="D912" s="182" t="s">
        <v>1981</v>
      </c>
      <c r="E912" s="183"/>
      <c r="F912" s="182"/>
      <c r="G912" s="93">
        <v>0</v>
      </c>
      <c r="H912" s="74"/>
      <c r="I912" s="19"/>
    </row>
    <row r="913" spans="1:9">
      <c r="A913" s="48" t="s">
        <v>564</v>
      </c>
      <c r="B913" s="56" t="s">
        <v>61</v>
      </c>
      <c r="C913" s="56" t="s">
        <v>886</v>
      </c>
      <c r="D913" s="170" t="s">
        <v>1296</v>
      </c>
      <c r="E913" s="171"/>
      <c r="F913" s="56" t="s">
        <v>1639</v>
      </c>
      <c r="G913" s="65">
        <v>5</v>
      </c>
      <c r="H913" s="97">
        <v>0</v>
      </c>
      <c r="I913" s="19"/>
    </row>
    <row r="914" spans="1:9" ht="12.2" customHeight="1">
      <c r="A914" s="19"/>
      <c r="D914" s="182" t="s">
        <v>2234</v>
      </c>
      <c r="E914" s="183"/>
      <c r="F914" s="183"/>
      <c r="G914" s="93">
        <v>0</v>
      </c>
      <c r="H914" s="16"/>
      <c r="I914" s="19"/>
    </row>
    <row r="915" spans="1:9" ht="12.2" customHeight="1">
      <c r="A915" s="48"/>
      <c r="B915" s="56"/>
      <c r="C915" s="56"/>
      <c r="D915" s="182" t="s">
        <v>2235</v>
      </c>
      <c r="E915" s="183"/>
      <c r="F915" s="182"/>
      <c r="G915" s="93">
        <v>0</v>
      </c>
      <c r="H915" s="74"/>
      <c r="I915" s="19"/>
    </row>
    <row r="916" spans="1:9">
      <c r="A916" s="47" t="s">
        <v>565</v>
      </c>
      <c r="B916" s="55" t="s">
        <v>61</v>
      </c>
      <c r="C916" s="55" t="s">
        <v>889</v>
      </c>
      <c r="D916" s="165" t="s">
        <v>1299</v>
      </c>
      <c r="E916" s="166"/>
      <c r="F916" s="55" t="s">
        <v>1631</v>
      </c>
      <c r="G916" s="64">
        <v>24</v>
      </c>
      <c r="H916" s="96">
        <v>0</v>
      </c>
      <c r="I916" s="19"/>
    </row>
    <row r="917" spans="1:9" ht="12.2" customHeight="1">
      <c r="A917" s="19"/>
      <c r="D917" s="180" t="s">
        <v>2242</v>
      </c>
      <c r="E917" s="181"/>
      <c r="F917" s="181"/>
      <c r="G917" s="92">
        <v>0</v>
      </c>
      <c r="H917" s="16"/>
      <c r="I917" s="19"/>
    </row>
    <row r="918" spans="1:9" ht="12.2" customHeight="1">
      <c r="A918" s="47"/>
      <c r="B918" s="55"/>
      <c r="C918" s="55"/>
      <c r="D918" s="180" t="s">
        <v>2243</v>
      </c>
      <c r="E918" s="181"/>
      <c r="F918" s="180"/>
      <c r="G918" s="92">
        <v>0</v>
      </c>
      <c r="H918" s="73"/>
      <c r="I918" s="19"/>
    </row>
    <row r="919" spans="1:9" ht="12.2" customHeight="1">
      <c r="A919" s="47"/>
      <c r="B919" s="55"/>
      <c r="C919" s="55"/>
      <c r="D919" s="180" t="s">
        <v>2233</v>
      </c>
      <c r="E919" s="181"/>
      <c r="F919" s="180"/>
      <c r="G919" s="92">
        <v>0</v>
      </c>
      <c r="H919" s="73"/>
      <c r="I919" s="19"/>
    </row>
    <row r="920" spans="1:9">
      <c r="A920" s="48" t="s">
        <v>566</v>
      </c>
      <c r="B920" s="56" t="s">
        <v>61</v>
      </c>
      <c r="C920" s="56" t="s">
        <v>883</v>
      </c>
      <c r="D920" s="170" t="s">
        <v>1293</v>
      </c>
      <c r="E920" s="171"/>
      <c r="F920" s="56" t="s">
        <v>1633</v>
      </c>
      <c r="G920" s="65">
        <v>63.6</v>
      </c>
      <c r="H920" s="97">
        <v>0</v>
      </c>
      <c r="I920" s="19"/>
    </row>
    <row r="921" spans="1:9" ht="12.2" customHeight="1">
      <c r="A921" s="19"/>
      <c r="D921" s="182" t="s">
        <v>2244</v>
      </c>
      <c r="E921" s="183"/>
      <c r="F921" s="183"/>
      <c r="G921" s="93">
        <v>0</v>
      </c>
      <c r="H921" s="16"/>
      <c r="I921" s="19"/>
    </row>
    <row r="922" spans="1:9" ht="12.2" customHeight="1">
      <c r="A922" s="48"/>
      <c r="B922" s="56"/>
      <c r="C922" s="56"/>
      <c r="D922" s="182" t="s">
        <v>2245</v>
      </c>
      <c r="E922" s="183"/>
      <c r="F922" s="182"/>
      <c r="G922" s="93">
        <v>0</v>
      </c>
      <c r="H922" s="74"/>
      <c r="I922" s="19"/>
    </row>
    <row r="923" spans="1:9" ht="12.2" customHeight="1">
      <c r="A923" s="48"/>
      <c r="B923" s="56"/>
      <c r="C923" s="56"/>
      <c r="D923" s="182" t="s">
        <v>1979</v>
      </c>
      <c r="E923" s="183"/>
      <c r="F923" s="182"/>
      <c r="G923" s="93">
        <v>0</v>
      </c>
      <c r="H923" s="74"/>
      <c r="I923" s="19"/>
    </row>
    <row r="924" spans="1:9">
      <c r="A924" s="48" t="s">
        <v>567</v>
      </c>
      <c r="B924" s="56" t="s">
        <v>61</v>
      </c>
      <c r="C924" s="56" t="s">
        <v>886</v>
      </c>
      <c r="D924" s="170" t="s">
        <v>1296</v>
      </c>
      <c r="E924" s="171"/>
      <c r="F924" s="56" t="s">
        <v>1639</v>
      </c>
      <c r="G924" s="65">
        <v>24</v>
      </c>
      <c r="H924" s="97">
        <v>0</v>
      </c>
      <c r="I924" s="19"/>
    </row>
    <row r="925" spans="1:9" ht="12.2" customHeight="1">
      <c r="A925" s="19"/>
      <c r="D925" s="182" t="s">
        <v>2242</v>
      </c>
      <c r="E925" s="183"/>
      <c r="F925" s="183"/>
      <c r="G925" s="93">
        <v>0</v>
      </c>
      <c r="H925" s="16"/>
      <c r="I925" s="19"/>
    </row>
    <row r="926" spans="1:9" ht="12.2" customHeight="1">
      <c r="A926" s="48"/>
      <c r="B926" s="56"/>
      <c r="C926" s="56"/>
      <c r="D926" s="182" t="s">
        <v>2243</v>
      </c>
      <c r="E926" s="183"/>
      <c r="F926" s="182"/>
      <c r="G926" s="93">
        <v>0</v>
      </c>
      <c r="H926" s="74"/>
      <c r="I926" s="19"/>
    </row>
    <row r="927" spans="1:9" ht="12.2" customHeight="1">
      <c r="A927" s="48"/>
      <c r="B927" s="56"/>
      <c r="C927" s="56"/>
      <c r="D927" s="182" t="s">
        <v>2233</v>
      </c>
      <c r="E927" s="183"/>
      <c r="F927" s="182"/>
      <c r="G927" s="93">
        <v>0</v>
      </c>
      <c r="H927" s="74"/>
      <c r="I927" s="19"/>
    </row>
    <row r="928" spans="1:9">
      <c r="A928" s="48" t="s">
        <v>568</v>
      </c>
      <c r="B928" s="56" t="s">
        <v>61</v>
      </c>
      <c r="C928" s="56" t="s">
        <v>890</v>
      </c>
      <c r="D928" s="170" t="s">
        <v>1300</v>
      </c>
      <c r="E928" s="171"/>
      <c r="F928" s="56" t="s">
        <v>1631</v>
      </c>
      <c r="G928" s="65">
        <v>8</v>
      </c>
      <c r="H928" s="97">
        <v>0</v>
      </c>
      <c r="I928" s="19"/>
    </row>
    <row r="929" spans="1:9" ht="12.2" customHeight="1">
      <c r="A929" s="19"/>
      <c r="D929" s="182" t="s">
        <v>2238</v>
      </c>
      <c r="E929" s="183"/>
      <c r="F929" s="183"/>
      <c r="G929" s="93">
        <v>0</v>
      </c>
      <c r="H929" s="16"/>
      <c r="I929" s="19"/>
    </row>
    <row r="930" spans="1:9" ht="12.2" customHeight="1">
      <c r="A930" s="48"/>
      <c r="B930" s="56"/>
      <c r="C930" s="56"/>
      <c r="D930" s="182" t="s">
        <v>2246</v>
      </c>
      <c r="E930" s="183"/>
      <c r="F930" s="182"/>
      <c r="G930" s="93">
        <v>0</v>
      </c>
      <c r="H930" s="74"/>
      <c r="I930" s="19"/>
    </row>
    <row r="931" spans="1:9" ht="12.2" customHeight="1">
      <c r="A931" s="47" t="s">
        <v>569</v>
      </c>
      <c r="B931" s="55" t="s">
        <v>61</v>
      </c>
      <c r="C931" s="55" t="s">
        <v>767</v>
      </c>
      <c r="D931" s="180" t="s">
        <v>2247</v>
      </c>
      <c r="E931" s="181"/>
      <c r="F931" s="180"/>
      <c r="G931" s="92">
        <v>0</v>
      </c>
      <c r="H931" s="96">
        <v>0</v>
      </c>
      <c r="I931" s="19"/>
    </row>
    <row r="932" spans="1:9" ht="12.2" customHeight="1">
      <c r="A932" s="47"/>
      <c r="B932" s="55"/>
      <c r="C932" s="55"/>
      <c r="D932" s="180" t="s">
        <v>2248</v>
      </c>
      <c r="E932" s="181"/>
      <c r="F932" s="180"/>
      <c r="G932" s="92">
        <v>0</v>
      </c>
      <c r="H932" s="73"/>
      <c r="I932" s="19"/>
    </row>
    <row r="933" spans="1:9" ht="12.2" customHeight="1">
      <c r="A933" s="47" t="s">
        <v>570</v>
      </c>
      <c r="B933" s="55" t="s">
        <v>61</v>
      </c>
      <c r="C933" s="55" t="s">
        <v>891</v>
      </c>
      <c r="D933" s="180" t="s">
        <v>2247</v>
      </c>
      <c r="E933" s="181"/>
      <c r="F933" s="180"/>
      <c r="G933" s="92">
        <v>0</v>
      </c>
      <c r="H933" s="96">
        <v>0</v>
      </c>
      <c r="I933" s="19"/>
    </row>
    <row r="934" spans="1:9" ht="12.2" customHeight="1">
      <c r="A934" s="47"/>
      <c r="B934" s="55"/>
      <c r="C934" s="55"/>
      <c r="D934" s="180" t="s">
        <v>2248</v>
      </c>
      <c r="E934" s="181"/>
      <c r="F934" s="180"/>
      <c r="G934" s="92">
        <v>0</v>
      </c>
      <c r="H934" s="73"/>
      <c r="I934" s="19"/>
    </row>
    <row r="935" spans="1:9">
      <c r="A935" s="47" t="s">
        <v>571</v>
      </c>
      <c r="B935" s="55" t="s">
        <v>61</v>
      </c>
      <c r="C935" s="55" t="s">
        <v>892</v>
      </c>
      <c r="D935" s="165" t="s">
        <v>1303</v>
      </c>
      <c r="E935" s="166"/>
      <c r="F935" s="55" t="s">
        <v>1634</v>
      </c>
      <c r="G935" s="64">
        <v>9.6908399999999997</v>
      </c>
      <c r="H935" s="96">
        <v>0</v>
      </c>
      <c r="I935" s="19"/>
    </row>
    <row r="936" spans="1:9">
      <c r="A936" s="87"/>
      <c r="B936" s="54"/>
      <c r="C936" s="54" t="s">
        <v>153</v>
      </c>
      <c r="D936" s="163" t="s">
        <v>204</v>
      </c>
      <c r="E936" s="164"/>
      <c r="F936" s="54"/>
      <c r="G936" s="77"/>
      <c r="H936" s="72"/>
      <c r="I936" s="19"/>
    </row>
    <row r="937" spans="1:9">
      <c r="A937" s="47" t="s">
        <v>572</v>
      </c>
      <c r="B937" s="55" t="s">
        <v>61</v>
      </c>
      <c r="C937" s="55" t="s">
        <v>893</v>
      </c>
      <c r="D937" s="165" t="s">
        <v>1304</v>
      </c>
      <c r="E937" s="166"/>
      <c r="F937" s="55" t="s">
        <v>1632</v>
      </c>
      <c r="G937" s="64">
        <v>839.79</v>
      </c>
      <c r="H937" s="96">
        <v>0</v>
      </c>
      <c r="I937" s="19"/>
    </row>
    <row r="938" spans="1:9" ht="12.2" customHeight="1">
      <c r="A938" s="19"/>
      <c r="D938" s="180" t="s">
        <v>2249</v>
      </c>
      <c r="E938" s="181"/>
      <c r="F938" s="181"/>
      <c r="G938" s="92">
        <v>0</v>
      </c>
      <c r="H938" s="16"/>
      <c r="I938" s="19"/>
    </row>
    <row r="939" spans="1:9" ht="12.2" customHeight="1">
      <c r="A939" s="47"/>
      <c r="B939" s="55"/>
      <c r="C939" s="55"/>
      <c r="D939" s="180" t="s">
        <v>2250</v>
      </c>
      <c r="E939" s="181"/>
      <c r="F939" s="180"/>
      <c r="G939" s="92">
        <v>0</v>
      </c>
      <c r="H939" s="73"/>
      <c r="I939" s="19"/>
    </row>
    <row r="940" spans="1:9" ht="12.2" customHeight="1">
      <c r="A940" s="47"/>
      <c r="B940" s="55"/>
      <c r="C940" s="55"/>
      <c r="D940" s="180" t="s">
        <v>2251</v>
      </c>
      <c r="E940" s="181"/>
      <c r="F940" s="180"/>
      <c r="G940" s="92">
        <v>0</v>
      </c>
      <c r="H940" s="73"/>
      <c r="I940" s="19"/>
    </row>
    <row r="941" spans="1:9" ht="12.2" customHeight="1">
      <c r="A941" s="47"/>
      <c r="B941" s="55"/>
      <c r="C941" s="55"/>
      <c r="D941" s="180" t="s">
        <v>2252</v>
      </c>
      <c r="E941" s="181"/>
      <c r="F941" s="180"/>
      <c r="G941" s="92">
        <v>0</v>
      </c>
      <c r="H941" s="73"/>
      <c r="I941" s="19"/>
    </row>
    <row r="942" spans="1:9" ht="12.2" customHeight="1">
      <c r="A942" s="47"/>
      <c r="B942" s="55"/>
      <c r="C942" s="55"/>
      <c r="D942" s="180" t="s">
        <v>2253</v>
      </c>
      <c r="E942" s="181"/>
      <c r="F942" s="180"/>
      <c r="G942" s="92">
        <v>0</v>
      </c>
      <c r="H942" s="73"/>
      <c r="I942" s="19"/>
    </row>
    <row r="943" spans="1:9" ht="12.2" customHeight="1">
      <c r="A943" s="47"/>
      <c r="B943" s="55"/>
      <c r="C943" s="55"/>
      <c r="D943" s="180" t="s">
        <v>2254</v>
      </c>
      <c r="E943" s="181"/>
      <c r="F943" s="180"/>
      <c r="G943" s="92">
        <v>0</v>
      </c>
      <c r="H943" s="73"/>
      <c r="I943" s="19"/>
    </row>
    <row r="944" spans="1:9" ht="12.2" customHeight="1">
      <c r="A944" s="47"/>
      <c r="B944" s="55"/>
      <c r="C944" s="55"/>
      <c r="D944" s="180" t="s">
        <v>2255</v>
      </c>
      <c r="E944" s="181"/>
      <c r="F944" s="180"/>
      <c r="G944" s="92">
        <v>0</v>
      </c>
      <c r="H944" s="73"/>
      <c r="I944" s="19"/>
    </row>
    <row r="945" spans="1:9" ht="12.2" customHeight="1">
      <c r="A945" s="47"/>
      <c r="B945" s="55"/>
      <c r="C945" s="55"/>
      <c r="D945" s="180" t="s">
        <v>2256</v>
      </c>
      <c r="E945" s="181"/>
      <c r="F945" s="180"/>
      <c r="G945" s="92">
        <v>0</v>
      </c>
      <c r="H945" s="73"/>
      <c r="I945" s="19"/>
    </row>
    <row r="946" spans="1:9" ht="12.2" customHeight="1">
      <c r="A946" s="47"/>
      <c r="B946" s="55"/>
      <c r="C946" s="55"/>
      <c r="D946" s="180" t="s">
        <v>2257</v>
      </c>
      <c r="E946" s="181"/>
      <c r="F946" s="180"/>
      <c r="G946" s="92">
        <v>0</v>
      </c>
      <c r="H946" s="73"/>
      <c r="I946" s="19"/>
    </row>
    <row r="947" spans="1:9" ht="12.2" customHeight="1">
      <c r="A947" s="47"/>
      <c r="B947" s="55"/>
      <c r="C947" s="55"/>
      <c r="D947" s="180" t="s">
        <v>2258</v>
      </c>
      <c r="E947" s="181"/>
      <c r="F947" s="180"/>
      <c r="G947" s="92">
        <v>0</v>
      </c>
      <c r="H947" s="73"/>
      <c r="I947" s="19"/>
    </row>
    <row r="948" spans="1:9" ht="12.2" customHeight="1">
      <c r="A948" s="47"/>
      <c r="B948" s="55"/>
      <c r="C948" s="55"/>
      <c r="D948" s="180" t="s">
        <v>2259</v>
      </c>
      <c r="E948" s="181"/>
      <c r="F948" s="180"/>
      <c r="G948" s="92">
        <v>0</v>
      </c>
      <c r="H948" s="73"/>
      <c r="I948" s="19"/>
    </row>
    <row r="949" spans="1:9" ht="12.2" customHeight="1">
      <c r="A949" s="47"/>
      <c r="B949" s="55"/>
      <c r="C949" s="55"/>
      <c r="D949" s="180" t="s">
        <v>2260</v>
      </c>
      <c r="E949" s="181"/>
      <c r="F949" s="180"/>
      <c r="G949" s="92">
        <v>0</v>
      </c>
      <c r="H949" s="73"/>
      <c r="I949" s="19"/>
    </row>
    <row r="950" spans="1:9" ht="12.2" customHeight="1">
      <c r="A950" s="47"/>
      <c r="B950" s="55"/>
      <c r="C950" s="55"/>
      <c r="D950" s="180" t="s">
        <v>2261</v>
      </c>
      <c r="E950" s="181"/>
      <c r="F950" s="180"/>
      <c r="G950" s="92">
        <v>0</v>
      </c>
      <c r="H950" s="73"/>
      <c r="I950" s="19"/>
    </row>
    <row r="951" spans="1:9" ht="12.2" customHeight="1">
      <c r="A951" s="47"/>
      <c r="B951" s="55"/>
      <c r="C951" s="55"/>
      <c r="D951" s="180" t="s">
        <v>2262</v>
      </c>
      <c r="E951" s="181"/>
      <c r="F951" s="180"/>
      <c r="G951" s="92">
        <v>0</v>
      </c>
      <c r="H951" s="73"/>
      <c r="I951" s="19"/>
    </row>
    <row r="952" spans="1:9" ht="12.2" customHeight="1">
      <c r="A952" s="47"/>
      <c r="B952" s="55"/>
      <c r="C952" s="55"/>
      <c r="D952" s="180" t="s">
        <v>2263</v>
      </c>
      <c r="E952" s="181"/>
      <c r="F952" s="180"/>
      <c r="G952" s="92">
        <v>0</v>
      </c>
      <c r="H952" s="73"/>
      <c r="I952" s="19"/>
    </row>
    <row r="953" spans="1:9" ht="12.2" customHeight="1">
      <c r="A953" s="47"/>
      <c r="B953" s="55"/>
      <c r="C953" s="55"/>
      <c r="D953" s="180" t="s">
        <v>2264</v>
      </c>
      <c r="E953" s="181"/>
      <c r="F953" s="180"/>
      <c r="G953" s="92">
        <v>0</v>
      </c>
      <c r="H953" s="73"/>
      <c r="I953" s="19"/>
    </row>
    <row r="954" spans="1:9" ht="12.2" customHeight="1">
      <c r="A954" s="47"/>
      <c r="B954" s="55"/>
      <c r="C954" s="55"/>
      <c r="D954" s="180" t="s">
        <v>2265</v>
      </c>
      <c r="E954" s="181"/>
      <c r="F954" s="180"/>
      <c r="G954" s="92">
        <v>0</v>
      </c>
      <c r="H954" s="73"/>
      <c r="I954" s="19"/>
    </row>
    <row r="955" spans="1:9" ht="12.2" customHeight="1">
      <c r="A955" s="47"/>
      <c r="B955" s="55"/>
      <c r="C955" s="55"/>
      <c r="D955" s="180" t="s">
        <v>2266</v>
      </c>
      <c r="E955" s="181"/>
      <c r="F955" s="180"/>
      <c r="G955" s="92">
        <v>0</v>
      </c>
      <c r="H955" s="73"/>
      <c r="I955" s="19"/>
    </row>
    <row r="956" spans="1:9" ht="12.2" customHeight="1">
      <c r="A956" s="47"/>
      <c r="B956" s="55"/>
      <c r="C956" s="55"/>
      <c r="D956" s="180" t="s">
        <v>2267</v>
      </c>
      <c r="E956" s="181"/>
      <c r="F956" s="180"/>
      <c r="G956" s="92">
        <v>0</v>
      </c>
      <c r="H956" s="73"/>
      <c r="I956" s="19"/>
    </row>
    <row r="957" spans="1:9" ht="12.2" customHeight="1">
      <c r="A957" s="47"/>
      <c r="B957" s="55"/>
      <c r="C957" s="55"/>
      <c r="D957" s="180" t="s">
        <v>2268</v>
      </c>
      <c r="E957" s="181"/>
      <c r="F957" s="180"/>
      <c r="G957" s="92">
        <v>0</v>
      </c>
      <c r="H957" s="73"/>
      <c r="I957" s="19"/>
    </row>
    <row r="958" spans="1:9" ht="12.2" customHeight="1">
      <c r="A958" s="47"/>
      <c r="B958" s="55"/>
      <c r="C958" s="55"/>
      <c r="D958" s="180" t="s">
        <v>2268</v>
      </c>
      <c r="E958" s="181"/>
      <c r="F958" s="180"/>
      <c r="G958" s="92">
        <v>0</v>
      </c>
      <c r="H958" s="73"/>
      <c r="I958" s="19"/>
    </row>
    <row r="959" spans="1:9" ht="12.2" customHeight="1">
      <c r="A959" s="47"/>
      <c r="B959" s="55"/>
      <c r="C959" s="55"/>
      <c r="D959" s="180" t="s">
        <v>2269</v>
      </c>
      <c r="E959" s="181"/>
      <c r="F959" s="180"/>
      <c r="G959" s="92">
        <v>0</v>
      </c>
      <c r="H959" s="73"/>
      <c r="I959" s="19"/>
    </row>
    <row r="960" spans="1:9" ht="12.2" customHeight="1">
      <c r="A960" s="47"/>
      <c r="B960" s="55"/>
      <c r="C960" s="55"/>
      <c r="D960" s="180" t="s">
        <v>2268</v>
      </c>
      <c r="E960" s="181"/>
      <c r="F960" s="180"/>
      <c r="G960" s="92">
        <v>0</v>
      </c>
      <c r="H960" s="73"/>
      <c r="I960" s="19"/>
    </row>
    <row r="961" spans="1:9" ht="12.2" customHeight="1">
      <c r="A961" s="47"/>
      <c r="B961" s="55"/>
      <c r="C961" s="55"/>
      <c r="D961" s="180" t="s">
        <v>2270</v>
      </c>
      <c r="E961" s="181"/>
      <c r="F961" s="180"/>
      <c r="G961" s="92">
        <v>0</v>
      </c>
      <c r="H961" s="73"/>
      <c r="I961" s="19"/>
    </row>
    <row r="962" spans="1:9" ht="12.2" customHeight="1">
      <c r="A962" s="47"/>
      <c r="B962" s="55"/>
      <c r="C962" s="55"/>
      <c r="D962" s="180" t="s">
        <v>2271</v>
      </c>
      <c r="E962" s="181"/>
      <c r="F962" s="180"/>
      <c r="G962" s="92">
        <v>0</v>
      </c>
      <c r="H962" s="73"/>
      <c r="I962" s="19"/>
    </row>
    <row r="963" spans="1:9" ht="12.2" customHeight="1">
      <c r="A963" s="47"/>
      <c r="B963" s="55"/>
      <c r="C963" s="55"/>
      <c r="D963" s="180" t="s">
        <v>2272</v>
      </c>
      <c r="E963" s="181"/>
      <c r="F963" s="180"/>
      <c r="G963" s="92">
        <v>0</v>
      </c>
      <c r="H963" s="73"/>
      <c r="I963" s="19"/>
    </row>
    <row r="964" spans="1:9" ht="12.2" customHeight="1">
      <c r="A964" s="47"/>
      <c r="B964" s="55"/>
      <c r="C964" s="55"/>
      <c r="D964" s="180" t="s">
        <v>2273</v>
      </c>
      <c r="E964" s="181"/>
      <c r="F964" s="180"/>
      <c r="G964" s="92">
        <v>0</v>
      </c>
      <c r="H964" s="73"/>
      <c r="I964" s="19"/>
    </row>
    <row r="965" spans="1:9" ht="12.2" customHeight="1">
      <c r="A965" s="47"/>
      <c r="B965" s="55"/>
      <c r="C965" s="55"/>
      <c r="D965" s="180" t="s">
        <v>2274</v>
      </c>
      <c r="E965" s="181"/>
      <c r="F965" s="180"/>
      <c r="G965" s="92">
        <v>0</v>
      </c>
      <c r="H965" s="73"/>
      <c r="I965" s="19"/>
    </row>
    <row r="966" spans="1:9" ht="12.2" customHeight="1">
      <c r="A966" s="47"/>
      <c r="B966" s="55"/>
      <c r="C966" s="55"/>
      <c r="D966" s="180" t="s">
        <v>2275</v>
      </c>
      <c r="E966" s="181"/>
      <c r="F966" s="180"/>
      <c r="G966" s="92">
        <v>0</v>
      </c>
      <c r="H966" s="73"/>
      <c r="I966" s="19"/>
    </row>
    <row r="967" spans="1:9" ht="12.2" customHeight="1">
      <c r="A967" s="47"/>
      <c r="B967" s="55"/>
      <c r="C967" s="55"/>
      <c r="D967" s="180" t="s">
        <v>2276</v>
      </c>
      <c r="E967" s="181"/>
      <c r="F967" s="180"/>
      <c r="G967" s="92">
        <v>0</v>
      </c>
      <c r="H967" s="73"/>
      <c r="I967" s="19"/>
    </row>
    <row r="968" spans="1:9" ht="12.2" customHeight="1">
      <c r="A968" s="47"/>
      <c r="B968" s="55"/>
      <c r="C968" s="55"/>
      <c r="D968" s="180" t="s">
        <v>2277</v>
      </c>
      <c r="E968" s="181"/>
      <c r="F968" s="180"/>
      <c r="G968" s="92">
        <v>0</v>
      </c>
      <c r="H968" s="73"/>
      <c r="I968" s="19"/>
    </row>
    <row r="969" spans="1:9" ht="12.2" customHeight="1">
      <c r="A969" s="47"/>
      <c r="B969" s="55"/>
      <c r="C969" s="55"/>
      <c r="D969" s="180" t="s">
        <v>2278</v>
      </c>
      <c r="E969" s="181"/>
      <c r="F969" s="180"/>
      <c r="G969" s="92">
        <v>0</v>
      </c>
      <c r="H969" s="73"/>
      <c r="I969" s="19"/>
    </row>
    <row r="970" spans="1:9" ht="12.2" customHeight="1">
      <c r="A970" s="47"/>
      <c r="B970" s="55"/>
      <c r="C970" s="55"/>
      <c r="D970" s="180" t="s">
        <v>2279</v>
      </c>
      <c r="E970" s="181"/>
      <c r="F970" s="180"/>
      <c r="G970" s="92">
        <v>0</v>
      </c>
      <c r="H970" s="73"/>
      <c r="I970" s="19"/>
    </row>
    <row r="971" spans="1:9" ht="12.2" customHeight="1">
      <c r="A971" s="47"/>
      <c r="B971" s="55"/>
      <c r="C971" s="55"/>
      <c r="D971" s="180" t="s">
        <v>2280</v>
      </c>
      <c r="E971" s="181"/>
      <c r="F971" s="180"/>
      <c r="G971" s="92">
        <v>0</v>
      </c>
      <c r="H971" s="73"/>
      <c r="I971" s="19"/>
    </row>
    <row r="972" spans="1:9" ht="12.2" customHeight="1">
      <c r="A972" s="47"/>
      <c r="B972" s="55"/>
      <c r="C972" s="55"/>
      <c r="D972" s="180" t="s">
        <v>2281</v>
      </c>
      <c r="E972" s="181"/>
      <c r="F972" s="180"/>
      <c r="G972" s="92">
        <v>0</v>
      </c>
      <c r="H972" s="73"/>
      <c r="I972" s="19"/>
    </row>
    <row r="973" spans="1:9" ht="12.2" customHeight="1">
      <c r="A973" s="47"/>
      <c r="B973" s="55"/>
      <c r="C973" s="55"/>
      <c r="D973" s="180" t="s">
        <v>2282</v>
      </c>
      <c r="E973" s="181"/>
      <c r="F973" s="180"/>
      <c r="G973" s="92">
        <v>0</v>
      </c>
      <c r="H973" s="73"/>
      <c r="I973" s="19"/>
    </row>
    <row r="974" spans="1:9" ht="12.2" customHeight="1">
      <c r="A974" s="47"/>
      <c r="B974" s="55"/>
      <c r="C974" s="55"/>
      <c r="D974" s="180" t="s">
        <v>2283</v>
      </c>
      <c r="E974" s="181"/>
      <c r="F974" s="180"/>
      <c r="G974" s="92">
        <v>0</v>
      </c>
      <c r="H974" s="73"/>
      <c r="I974" s="19"/>
    </row>
    <row r="975" spans="1:9" ht="12.2" customHeight="1">
      <c r="A975" s="47"/>
      <c r="B975" s="55"/>
      <c r="C975" s="55"/>
      <c r="D975" s="180" t="s">
        <v>2284</v>
      </c>
      <c r="E975" s="181"/>
      <c r="F975" s="180"/>
      <c r="G975" s="92">
        <v>0</v>
      </c>
      <c r="H975" s="73"/>
      <c r="I975" s="19"/>
    </row>
    <row r="976" spans="1:9" ht="12.2" customHeight="1">
      <c r="A976" s="47"/>
      <c r="B976" s="55"/>
      <c r="C976" s="55"/>
      <c r="D976" s="180" t="s">
        <v>2285</v>
      </c>
      <c r="E976" s="181"/>
      <c r="F976" s="180"/>
      <c r="G976" s="92">
        <v>0</v>
      </c>
      <c r="H976" s="73"/>
      <c r="I976" s="19"/>
    </row>
    <row r="977" spans="1:9" ht="12.2" customHeight="1">
      <c r="A977" s="47"/>
      <c r="B977" s="55"/>
      <c r="C977" s="55"/>
      <c r="D977" s="180" t="s">
        <v>2286</v>
      </c>
      <c r="E977" s="181"/>
      <c r="F977" s="180"/>
      <c r="G977" s="92">
        <v>0</v>
      </c>
      <c r="H977" s="73"/>
      <c r="I977" s="19"/>
    </row>
    <row r="978" spans="1:9" ht="12.2" customHeight="1">
      <c r="A978" s="47"/>
      <c r="B978" s="55"/>
      <c r="C978" s="55"/>
      <c r="D978" s="180" t="s">
        <v>2287</v>
      </c>
      <c r="E978" s="181"/>
      <c r="F978" s="180"/>
      <c r="G978" s="92">
        <v>0</v>
      </c>
      <c r="H978" s="73"/>
      <c r="I978" s="19"/>
    </row>
    <row r="979" spans="1:9" ht="12.2" customHeight="1">
      <c r="A979" s="47"/>
      <c r="B979" s="55"/>
      <c r="C979" s="55"/>
      <c r="D979" s="180" t="s">
        <v>2288</v>
      </c>
      <c r="E979" s="181"/>
      <c r="F979" s="180"/>
      <c r="G979" s="92">
        <v>0</v>
      </c>
      <c r="H979" s="73"/>
      <c r="I979" s="19"/>
    </row>
    <row r="980" spans="1:9" ht="12.2" customHeight="1">
      <c r="A980" s="47"/>
      <c r="B980" s="55"/>
      <c r="C980" s="55"/>
      <c r="D980" s="180" t="s">
        <v>2289</v>
      </c>
      <c r="E980" s="181"/>
      <c r="F980" s="180"/>
      <c r="G980" s="92">
        <v>0</v>
      </c>
      <c r="H980" s="73"/>
      <c r="I980" s="19"/>
    </row>
    <row r="981" spans="1:9" ht="12.2" customHeight="1">
      <c r="A981" s="47"/>
      <c r="B981" s="55"/>
      <c r="C981" s="55"/>
      <c r="D981" s="180" t="s">
        <v>2290</v>
      </c>
      <c r="E981" s="181"/>
      <c r="F981" s="180"/>
      <c r="G981" s="92">
        <v>0</v>
      </c>
      <c r="H981" s="73"/>
      <c r="I981" s="19"/>
    </row>
    <row r="982" spans="1:9" ht="12.2" customHeight="1">
      <c r="A982" s="47"/>
      <c r="B982" s="55"/>
      <c r="C982" s="55"/>
      <c r="D982" s="180" t="s">
        <v>2291</v>
      </c>
      <c r="E982" s="181"/>
      <c r="F982" s="180"/>
      <c r="G982" s="92">
        <v>0</v>
      </c>
      <c r="H982" s="73"/>
      <c r="I982" s="19"/>
    </row>
    <row r="983" spans="1:9">
      <c r="A983" s="47" t="s">
        <v>573</v>
      </c>
      <c r="B983" s="55" t="s">
        <v>61</v>
      </c>
      <c r="C983" s="55" t="s">
        <v>894</v>
      </c>
      <c r="D983" s="165" t="s">
        <v>1306</v>
      </c>
      <c r="E983" s="166"/>
      <c r="F983" s="55" t="s">
        <v>1632</v>
      </c>
      <c r="G983" s="64">
        <v>824.82</v>
      </c>
      <c r="H983" s="96">
        <v>0</v>
      </c>
      <c r="I983" s="19"/>
    </row>
    <row r="984" spans="1:9" ht="12.2" customHeight="1">
      <c r="A984" s="19"/>
      <c r="D984" s="180" t="s">
        <v>2292</v>
      </c>
      <c r="E984" s="181"/>
      <c r="F984" s="181"/>
      <c r="G984" s="92">
        <v>0</v>
      </c>
      <c r="H984" s="16"/>
      <c r="I984" s="19"/>
    </row>
    <row r="985" spans="1:9" ht="12.2" customHeight="1">
      <c r="A985" s="47"/>
      <c r="B985" s="55"/>
      <c r="C985" s="55"/>
      <c r="D985" s="180" t="s">
        <v>2293</v>
      </c>
      <c r="E985" s="181"/>
      <c r="F985" s="180"/>
      <c r="G985" s="92">
        <v>0</v>
      </c>
      <c r="H985" s="73"/>
      <c r="I985" s="19"/>
    </row>
    <row r="986" spans="1:9" ht="12.2" customHeight="1">
      <c r="A986" s="47"/>
      <c r="B986" s="55"/>
      <c r="C986" s="55"/>
      <c r="D986" s="180" t="s">
        <v>2294</v>
      </c>
      <c r="E986" s="181"/>
      <c r="F986" s="180"/>
      <c r="G986" s="92">
        <v>0</v>
      </c>
      <c r="H986" s="73"/>
      <c r="I986" s="19"/>
    </row>
    <row r="987" spans="1:9">
      <c r="A987" s="47" t="s">
        <v>574</v>
      </c>
      <c r="B987" s="55" t="s">
        <v>61</v>
      </c>
      <c r="C987" s="55" t="s">
        <v>895</v>
      </c>
      <c r="D987" s="165" t="s">
        <v>1308</v>
      </c>
      <c r="E987" s="166"/>
      <c r="F987" s="55" t="s">
        <v>1632</v>
      </c>
      <c r="G987" s="64">
        <v>2068.8225000000002</v>
      </c>
      <c r="H987" s="96">
        <v>0</v>
      </c>
      <c r="I987" s="19"/>
    </row>
    <row r="988" spans="1:9" ht="12.2" customHeight="1">
      <c r="A988" s="19"/>
      <c r="D988" s="180" t="s">
        <v>2295</v>
      </c>
      <c r="E988" s="181"/>
      <c r="F988" s="181"/>
      <c r="G988" s="92">
        <v>0</v>
      </c>
      <c r="H988" s="16"/>
      <c r="I988" s="19"/>
    </row>
    <row r="989" spans="1:9" ht="12.2" customHeight="1">
      <c r="A989" s="47"/>
      <c r="B989" s="55"/>
      <c r="C989" s="55"/>
      <c r="D989" s="180" t="s">
        <v>2296</v>
      </c>
      <c r="E989" s="181"/>
      <c r="F989" s="180"/>
      <c r="G989" s="92">
        <v>0</v>
      </c>
      <c r="H989" s="73"/>
      <c r="I989" s="19"/>
    </row>
    <row r="990" spans="1:9" ht="12.2" customHeight="1">
      <c r="A990" s="47"/>
      <c r="B990" s="55"/>
      <c r="C990" s="55"/>
      <c r="D990" s="180" t="s">
        <v>2297</v>
      </c>
      <c r="E990" s="181"/>
      <c r="F990" s="180"/>
      <c r="G990" s="92">
        <v>0</v>
      </c>
      <c r="H990" s="73"/>
      <c r="I990" s="19"/>
    </row>
    <row r="991" spans="1:9" ht="12.2" customHeight="1">
      <c r="A991" s="47"/>
      <c r="B991" s="55"/>
      <c r="C991" s="55"/>
      <c r="D991" s="180" t="s">
        <v>2298</v>
      </c>
      <c r="E991" s="181"/>
      <c r="F991" s="180"/>
      <c r="G991" s="92">
        <v>0</v>
      </c>
      <c r="H991" s="73"/>
      <c r="I991" s="19"/>
    </row>
    <row r="992" spans="1:9" ht="12.2" customHeight="1">
      <c r="A992" s="47"/>
      <c r="B992" s="55"/>
      <c r="C992" s="55"/>
      <c r="D992" s="180" t="s">
        <v>2299</v>
      </c>
      <c r="E992" s="181"/>
      <c r="F992" s="180"/>
      <c r="G992" s="92">
        <v>0</v>
      </c>
      <c r="H992" s="73"/>
      <c r="I992" s="19"/>
    </row>
    <row r="993" spans="1:9" ht="12.2" customHeight="1">
      <c r="A993" s="47"/>
      <c r="B993" s="55"/>
      <c r="C993" s="55"/>
      <c r="D993" s="180" t="s">
        <v>2300</v>
      </c>
      <c r="E993" s="181"/>
      <c r="F993" s="180"/>
      <c r="G993" s="92">
        <v>0</v>
      </c>
      <c r="H993" s="73"/>
      <c r="I993" s="19"/>
    </row>
    <row r="994" spans="1:9" ht="12.2" customHeight="1">
      <c r="A994" s="47"/>
      <c r="B994" s="55"/>
      <c r="C994" s="55"/>
      <c r="D994" s="180" t="s">
        <v>2301</v>
      </c>
      <c r="E994" s="181"/>
      <c r="F994" s="180"/>
      <c r="G994" s="92">
        <v>0</v>
      </c>
      <c r="H994" s="73"/>
      <c r="I994" s="19"/>
    </row>
    <row r="995" spans="1:9" ht="12.2" customHeight="1">
      <c r="A995" s="47"/>
      <c r="B995" s="55"/>
      <c r="C995" s="55"/>
      <c r="D995" s="180" t="s">
        <v>2302</v>
      </c>
      <c r="E995" s="181"/>
      <c r="F995" s="180"/>
      <c r="G995" s="92">
        <v>0</v>
      </c>
      <c r="H995" s="73"/>
      <c r="I995" s="19"/>
    </row>
    <row r="996" spans="1:9" ht="12.2" customHeight="1">
      <c r="A996" s="47"/>
      <c r="B996" s="55"/>
      <c r="C996" s="55"/>
      <c r="D996" s="180" t="s">
        <v>2303</v>
      </c>
      <c r="E996" s="181"/>
      <c r="F996" s="180"/>
      <c r="G996" s="92">
        <v>0</v>
      </c>
      <c r="H996" s="73"/>
      <c r="I996" s="19"/>
    </row>
    <row r="997" spans="1:9" ht="12.2" customHeight="1">
      <c r="A997" s="47"/>
      <c r="B997" s="55"/>
      <c r="C997" s="55"/>
      <c r="D997" s="180" t="s">
        <v>2304</v>
      </c>
      <c r="E997" s="181"/>
      <c r="F997" s="180"/>
      <c r="G997" s="92">
        <v>0</v>
      </c>
      <c r="H997" s="73"/>
      <c r="I997" s="19"/>
    </row>
    <row r="998" spans="1:9" ht="12.2" customHeight="1">
      <c r="A998" s="47"/>
      <c r="B998" s="55"/>
      <c r="C998" s="55"/>
      <c r="D998" s="180" t="s">
        <v>2305</v>
      </c>
      <c r="E998" s="181"/>
      <c r="F998" s="180"/>
      <c r="G998" s="92">
        <v>0</v>
      </c>
      <c r="H998" s="73"/>
      <c r="I998" s="19"/>
    </row>
    <row r="999" spans="1:9" ht="12.2" customHeight="1">
      <c r="A999" s="47"/>
      <c r="B999" s="55"/>
      <c r="C999" s="55"/>
      <c r="D999" s="180" t="s">
        <v>2306</v>
      </c>
      <c r="E999" s="181"/>
      <c r="F999" s="180"/>
      <c r="G999" s="92">
        <v>0</v>
      </c>
      <c r="H999" s="73"/>
      <c r="I999" s="19"/>
    </row>
    <row r="1000" spans="1:9" ht="12.2" customHeight="1">
      <c r="A1000" s="47"/>
      <c r="B1000" s="55"/>
      <c r="C1000" s="55"/>
      <c r="D1000" s="180" t="s">
        <v>2307</v>
      </c>
      <c r="E1000" s="181"/>
      <c r="F1000" s="180"/>
      <c r="G1000" s="92">
        <v>0</v>
      </c>
      <c r="H1000" s="73"/>
      <c r="I1000" s="19"/>
    </row>
    <row r="1001" spans="1:9" ht="12.2" customHeight="1">
      <c r="A1001" s="47"/>
      <c r="B1001" s="55"/>
      <c r="C1001" s="55"/>
      <c r="D1001" s="180" t="s">
        <v>2308</v>
      </c>
      <c r="E1001" s="181"/>
      <c r="F1001" s="180"/>
      <c r="G1001" s="92">
        <v>0</v>
      </c>
      <c r="H1001" s="73"/>
      <c r="I1001" s="19"/>
    </row>
    <row r="1002" spans="1:9" ht="12.2" customHeight="1">
      <c r="A1002" s="47"/>
      <c r="B1002" s="55"/>
      <c r="C1002" s="55"/>
      <c r="D1002" s="180" t="s">
        <v>2309</v>
      </c>
      <c r="E1002" s="181"/>
      <c r="F1002" s="180"/>
      <c r="G1002" s="92">
        <v>0</v>
      </c>
      <c r="H1002" s="73"/>
      <c r="I1002" s="19"/>
    </row>
    <row r="1003" spans="1:9" ht="12.2" customHeight="1">
      <c r="A1003" s="47"/>
      <c r="B1003" s="55"/>
      <c r="C1003" s="55"/>
      <c r="D1003" s="180" t="s">
        <v>2310</v>
      </c>
      <c r="E1003" s="181"/>
      <c r="F1003" s="180"/>
      <c r="G1003" s="92">
        <v>0</v>
      </c>
      <c r="H1003" s="73"/>
      <c r="I1003" s="19"/>
    </row>
    <row r="1004" spans="1:9" ht="12.2" customHeight="1">
      <c r="A1004" s="47"/>
      <c r="B1004" s="55"/>
      <c r="C1004" s="55"/>
      <c r="D1004" s="180" t="s">
        <v>2308</v>
      </c>
      <c r="E1004" s="181"/>
      <c r="F1004" s="180"/>
      <c r="G1004" s="92">
        <v>0</v>
      </c>
      <c r="H1004" s="73"/>
      <c r="I1004" s="19"/>
    </row>
    <row r="1005" spans="1:9" ht="12.2" customHeight="1">
      <c r="A1005" s="47"/>
      <c r="B1005" s="55"/>
      <c r="C1005" s="55"/>
      <c r="D1005" s="180" t="s">
        <v>2311</v>
      </c>
      <c r="E1005" s="181"/>
      <c r="F1005" s="180"/>
      <c r="G1005" s="92">
        <v>0</v>
      </c>
      <c r="H1005" s="73"/>
      <c r="I1005" s="19"/>
    </row>
    <row r="1006" spans="1:9" ht="12.2" customHeight="1">
      <c r="A1006" s="47"/>
      <c r="B1006" s="55"/>
      <c r="C1006" s="55"/>
      <c r="D1006" s="180" t="s">
        <v>2312</v>
      </c>
      <c r="E1006" s="181"/>
      <c r="F1006" s="180"/>
      <c r="G1006" s="92">
        <v>0</v>
      </c>
      <c r="H1006" s="73"/>
      <c r="I1006" s="19"/>
    </row>
    <row r="1007" spans="1:9" ht="12.2" customHeight="1">
      <c r="A1007" s="47"/>
      <c r="B1007" s="55"/>
      <c r="C1007" s="55"/>
      <c r="D1007" s="180" t="s">
        <v>2313</v>
      </c>
      <c r="E1007" s="181"/>
      <c r="F1007" s="180"/>
      <c r="G1007" s="92">
        <v>0</v>
      </c>
      <c r="H1007" s="73"/>
      <c r="I1007" s="19"/>
    </row>
    <row r="1008" spans="1:9" ht="12.2" customHeight="1">
      <c r="A1008" s="47"/>
      <c r="B1008" s="55"/>
      <c r="C1008" s="55"/>
      <c r="D1008" s="180" t="s">
        <v>2314</v>
      </c>
      <c r="E1008" s="181"/>
      <c r="F1008" s="180"/>
      <c r="G1008" s="92">
        <v>0</v>
      </c>
      <c r="H1008" s="73"/>
      <c r="I1008" s="19"/>
    </row>
    <row r="1009" spans="1:9" ht="12.2" customHeight="1">
      <c r="A1009" s="47"/>
      <c r="B1009" s="55"/>
      <c r="C1009" s="55"/>
      <c r="D1009" s="180" t="s">
        <v>2315</v>
      </c>
      <c r="E1009" s="181"/>
      <c r="F1009" s="180"/>
      <c r="G1009" s="92">
        <v>0</v>
      </c>
      <c r="H1009" s="73"/>
      <c r="I1009" s="19"/>
    </row>
    <row r="1010" spans="1:9" ht="12.2" customHeight="1">
      <c r="A1010" s="47"/>
      <c r="B1010" s="55"/>
      <c r="C1010" s="55"/>
      <c r="D1010" s="180" t="s">
        <v>2316</v>
      </c>
      <c r="E1010" s="181"/>
      <c r="F1010" s="180"/>
      <c r="G1010" s="92">
        <v>0</v>
      </c>
      <c r="H1010" s="73"/>
      <c r="I1010" s="19"/>
    </row>
    <row r="1011" spans="1:9" ht="12.2" customHeight="1">
      <c r="A1011" s="47"/>
      <c r="B1011" s="55"/>
      <c r="C1011" s="55"/>
      <c r="D1011" s="180" t="s">
        <v>2317</v>
      </c>
      <c r="E1011" s="181"/>
      <c r="F1011" s="180"/>
      <c r="G1011" s="92">
        <v>0</v>
      </c>
      <c r="H1011" s="73"/>
      <c r="I1011" s="19"/>
    </row>
    <row r="1012" spans="1:9" ht="12.2" customHeight="1">
      <c r="A1012" s="47"/>
      <c r="B1012" s="55"/>
      <c r="C1012" s="55"/>
      <c r="D1012" s="180" t="s">
        <v>2318</v>
      </c>
      <c r="E1012" s="181"/>
      <c r="F1012" s="180"/>
      <c r="G1012" s="92">
        <v>0</v>
      </c>
      <c r="H1012" s="73"/>
      <c r="I1012" s="19"/>
    </row>
    <row r="1013" spans="1:9" ht="12.2" customHeight="1">
      <c r="A1013" s="47"/>
      <c r="B1013" s="55"/>
      <c r="C1013" s="55"/>
      <c r="D1013" s="180" t="s">
        <v>2319</v>
      </c>
      <c r="E1013" s="181"/>
      <c r="F1013" s="180"/>
      <c r="G1013" s="92">
        <v>0</v>
      </c>
      <c r="H1013" s="73"/>
      <c r="I1013" s="19"/>
    </row>
    <row r="1014" spans="1:9" ht="12.2" customHeight="1">
      <c r="A1014" s="47"/>
      <c r="B1014" s="55"/>
      <c r="C1014" s="55"/>
      <c r="D1014" s="180" t="s">
        <v>2320</v>
      </c>
      <c r="E1014" s="181"/>
      <c r="F1014" s="180"/>
      <c r="G1014" s="92">
        <v>0</v>
      </c>
      <c r="H1014" s="73"/>
      <c r="I1014" s="19"/>
    </row>
    <row r="1015" spans="1:9" ht="12.2" customHeight="1">
      <c r="A1015" s="47"/>
      <c r="B1015" s="55"/>
      <c r="C1015" s="55"/>
      <c r="D1015" s="180" t="s">
        <v>2321</v>
      </c>
      <c r="E1015" s="181"/>
      <c r="F1015" s="180"/>
      <c r="G1015" s="92">
        <v>0</v>
      </c>
      <c r="H1015" s="73"/>
      <c r="I1015" s="19"/>
    </row>
    <row r="1016" spans="1:9" ht="12.2" customHeight="1">
      <c r="A1016" s="47"/>
      <c r="B1016" s="55"/>
      <c r="C1016" s="55"/>
      <c r="D1016" s="180" t="s">
        <v>2322</v>
      </c>
      <c r="E1016" s="181"/>
      <c r="F1016" s="180"/>
      <c r="G1016" s="92">
        <v>0</v>
      </c>
      <c r="H1016" s="73"/>
      <c r="I1016" s="19"/>
    </row>
    <row r="1017" spans="1:9" ht="12.2" customHeight="1">
      <c r="A1017" s="47"/>
      <c r="B1017" s="55"/>
      <c r="C1017" s="55"/>
      <c r="D1017" s="180" t="s">
        <v>2323</v>
      </c>
      <c r="E1017" s="181"/>
      <c r="F1017" s="180"/>
      <c r="G1017" s="92">
        <v>0</v>
      </c>
      <c r="H1017" s="73"/>
      <c r="I1017" s="19"/>
    </row>
    <row r="1018" spans="1:9" ht="12.2" customHeight="1">
      <c r="A1018" s="47"/>
      <c r="B1018" s="55"/>
      <c r="C1018" s="55"/>
      <c r="D1018" s="180" t="s">
        <v>2324</v>
      </c>
      <c r="E1018" s="181"/>
      <c r="F1018" s="180"/>
      <c r="G1018" s="92">
        <v>0</v>
      </c>
      <c r="H1018" s="73"/>
      <c r="I1018" s="19"/>
    </row>
    <row r="1019" spans="1:9" ht="12.2" customHeight="1">
      <c r="A1019" s="47"/>
      <c r="B1019" s="55"/>
      <c r="C1019" s="55"/>
      <c r="D1019" s="180" t="s">
        <v>2325</v>
      </c>
      <c r="E1019" s="181"/>
      <c r="F1019" s="180"/>
      <c r="G1019" s="92">
        <v>0</v>
      </c>
      <c r="H1019" s="73"/>
      <c r="I1019" s="19"/>
    </row>
    <row r="1020" spans="1:9" ht="12.2" customHeight="1">
      <c r="A1020" s="47"/>
      <c r="B1020" s="55"/>
      <c r="C1020" s="55"/>
      <c r="D1020" s="180" t="s">
        <v>2326</v>
      </c>
      <c r="E1020" s="181"/>
      <c r="F1020" s="180"/>
      <c r="G1020" s="92">
        <v>0</v>
      </c>
      <c r="H1020" s="73"/>
      <c r="I1020" s="19"/>
    </row>
    <row r="1021" spans="1:9" ht="12.2" customHeight="1">
      <c r="A1021" s="47"/>
      <c r="B1021" s="55"/>
      <c r="C1021" s="55"/>
      <c r="D1021" s="180" t="s">
        <v>2327</v>
      </c>
      <c r="E1021" s="181"/>
      <c r="F1021" s="180"/>
      <c r="G1021" s="92">
        <v>0</v>
      </c>
      <c r="H1021" s="73"/>
      <c r="I1021" s="19"/>
    </row>
    <row r="1022" spans="1:9" ht="12.2" customHeight="1">
      <c r="A1022" s="47"/>
      <c r="B1022" s="55"/>
      <c r="C1022" s="55"/>
      <c r="D1022" s="180" t="s">
        <v>2328</v>
      </c>
      <c r="E1022" s="181"/>
      <c r="F1022" s="180"/>
      <c r="G1022" s="92">
        <v>0</v>
      </c>
      <c r="H1022" s="73"/>
      <c r="I1022" s="19"/>
    </row>
    <row r="1023" spans="1:9" ht="12.2" customHeight="1">
      <c r="A1023" s="47"/>
      <c r="B1023" s="55"/>
      <c r="C1023" s="55"/>
      <c r="D1023" s="180" t="s">
        <v>2329</v>
      </c>
      <c r="E1023" s="181"/>
      <c r="F1023" s="180"/>
      <c r="G1023" s="92">
        <v>0</v>
      </c>
      <c r="H1023" s="73"/>
      <c r="I1023" s="19"/>
    </row>
    <row r="1024" spans="1:9" ht="12.2" customHeight="1">
      <c r="A1024" s="47"/>
      <c r="B1024" s="55"/>
      <c r="C1024" s="55"/>
      <c r="D1024" s="180" t="s">
        <v>2330</v>
      </c>
      <c r="E1024" s="181"/>
      <c r="F1024" s="180"/>
      <c r="G1024" s="92">
        <v>0</v>
      </c>
      <c r="H1024" s="73"/>
      <c r="I1024" s="19"/>
    </row>
    <row r="1025" spans="1:9" ht="12.2" customHeight="1">
      <c r="A1025" s="47"/>
      <c r="B1025" s="55"/>
      <c r="C1025" s="55"/>
      <c r="D1025" s="180" t="s">
        <v>2331</v>
      </c>
      <c r="E1025" s="181"/>
      <c r="F1025" s="180"/>
      <c r="G1025" s="92">
        <v>0</v>
      </c>
      <c r="H1025" s="73"/>
      <c r="I1025" s="19"/>
    </row>
    <row r="1026" spans="1:9" ht="12.2" customHeight="1">
      <c r="A1026" s="47"/>
      <c r="B1026" s="55"/>
      <c r="C1026" s="55"/>
      <c r="D1026" s="180" t="s">
        <v>2332</v>
      </c>
      <c r="E1026" s="181"/>
      <c r="F1026" s="180"/>
      <c r="G1026" s="92">
        <v>0</v>
      </c>
      <c r="H1026" s="73"/>
      <c r="I1026" s="19"/>
    </row>
    <row r="1027" spans="1:9" ht="12.2" customHeight="1">
      <c r="A1027" s="47"/>
      <c r="B1027" s="55"/>
      <c r="C1027" s="55"/>
      <c r="D1027" s="180" t="s">
        <v>2316</v>
      </c>
      <c r="E1027" s="181"/>
      <c r="F1027" s="180"/>
      <c r="G1027" s="92">
        <v>0</v>
      </c>
      <c r="H1027" s="73"/>
      <c r="I1027" s="19"/>
    </row>
    <row r="1028" spans="1:9" ht="12.2" customHeight="1">
      <c r="A1028" s="47"/>
      <c r="B1028" s="55"/>
      <c r="C1028" s="55"/>
      <c r="D1028" s="180" t="s">
        <v>2333</v>
      </c>
      <c r="E1028" s="181"/>
      <c r="F1028" s="180"/>
      <c r="G1028" s="92">
        <v>0</v>
      </c>
      <c r="H1028" s="73"/>
      <c r="I1028" s="19"/>
    </row>
    <row r="1029" spans="1:9" ht="12.2" customHeight="1">
      <c r="A1029" s="47"/>
      <c r="B1029" s="55"/>
      <c r="C1029" s="55"/>
      <c r="D1029" s="180" t="s">
        <v>2334</v>
      </c>
      <c r="E1029" s="181"/>
      <c r="F1029" s="180"/>
      <c r="G1029" s="92">
        <v>0</v>
      </c>
      <c r="H1029" s="73"/>
      <c r="I1029" s="19"/>
    </row>
    <row r="1030" spans="1:9" ht="12.2" customHeight="1">
      <c r="A1030" s="47"/>
      <c r="B1030" s="55"/>
      <c r="C1030" s="55"/>
      <c r="D1030" s="180" t="s">
        <v>2335</v>
      </c>
      <c r="E1030" s="181"/>
      <c r="F1030" s="180"/>
      <c r="G1030" s="92">
        <v>0</v>
      </c>
      <c r="H1030" s="73"/>
      <c r="I1030" s="19"/>
    </row>
    <row r="1031" spans="1:9" ht="12.2" customHeight="1">
      <c r="A1031" s="47"/>
      <c r="B1031" s="55"/>
      <c r="C1031" s="55"/>
      <c r="D1031" s="180" t="s">
        <v>2336</v>
      </c>
      <c r="E1031" s="181"/>
      <c r="F1031" s="180"/>
      <c r="G1031" s="92">
        <v>0</v>
      </c>
      <c r="H1031" s="73"/>
      <c r="I1031" s="19"/>
    </row>
    <row r="1032" spans="1:9" ht="12.2" customHeight="1">
      <c r="A1032" s="47"/>
      <c r="B1032" s="55"/>
      <c r="C1032" s="55"/>
      <c r="D1032" s="180" t="s">
        <v>2337</v>
      </c>
      <c r="E1032" s="181"/>
      <c r="F1032" s="180"/>
      <c r="G1032" s="92">
        <v>0</v>
      </c>
      <c r="H1032" s="73"/>
      <c r="I1032" s="19"/>
    </row>
    <row r="1033" spans="1:9" ht="12.2" customHeight="1">
      <c r="A1033" s="47"/>
      <c r="B1033" s="55"/>
      <c r="C1033" s="55"/>
      <c r="D1033" s="180" t="s">
        <v>2338</v>
      </c>
      <c r="E1033" s="181"/>
      <c r="F1033" s="180"/>
      <c r="G1033" s="92">
        <v>0</v>
      </c>
      <c r="H1033" s="73"/>
      <c r="I1033" s="19"/>
    </row>
    <row r="1034" spans="1:9" ht="12.2" customHeight="1">
      <c r="A1034" s="47"/>
      <c r="B1034" s="55"/>
      <c r="C1034" s="55"/>
      <c r="D1034" s="180" t="s">
        <v>2339</v>
      </c>
      <c r="E1034" s="181"/>
      <c r="F1034" s="180"/>
      <c r="G1034" s="92">
        <v>0</v>
      </c>
      <c r="H1034" s="73"/>
      <c r="I1034" s="19"/>
    </row>
    <row r="1035" spans="1:9" ht="12.2" customHeight="1">
      <c r="A1035" s="47"/>
      <c r="B1035" s="55"/>
      <c r="C1035" s="55"/>
      <c r="D1035" s="180" t="s">
        <v>2340</v>
      </c>
      <c r="E1035" s="181"/>
      <c r="F1035" s="180"/>
      <c r="G1035" s="92">
        <v>0</v>
      </c>
      <c r="H1035" s="73"/>
      <c r="I1035" s="19"/>
    </row>
    <row r="1036" spans="1:9" ht="12.2" customHeight="1">
      <c r="A1036" s="47"/>
      <c r="B1036" s="55"/>
      <c r="C1036" s="55"/>
      <c r="D1036" s="180" t="s">
        <v>2341</v>
      </c>
      <c r="E1036" s="181"/>
      <c r="F1036" s="180"/>
      <c r="G1036" s="92">
        <v>0</v>
      </c>
      <c r="H1036" s="73"/>
      <c r="I1036" s="19"/>
    </row>
    <row r="1037" spans="1:9" ht="12.2" customHeight="1">
      <c r="A1037" s="47"/>
      <c r="B1037" s="55"/>
      <c r="C1037" s="55"/>
      <c r="D1037" s="180" t="s">
        <v>2342</v>
      </c>
      <c r="E1037" s="181"/>
      <c r="F1037" s="180"/>
      <c r="G1037" s="92">
        <v>0</v>
      </c>
      <c r="H1037" s="73"/>
      <c r="I1037" s="19"/>
    </row>
    <row r="1038" spans="1:9" ht="12.2" customHeight="1">
      <c r="A1038" s="47"/>
      <c r="B1038" s="55"/>
      <c r="C1038" s="55"/>
      <c r="D1038" s="180" t="s">
        <v>2343</v>
      </c>
      <c r="E1038" s="181"/>
      <c r="F1038" s="180"/>
      <c r="G1038" s="92">
        <v>0</v>
      </c>
      <c r="H1038" s="73"/>
      <c r="I1038" s="19"/>
    </row>
    <row r="1039" spans="1:9" ht="12.2" customHeight="1">
      <c r="A1039" s="47"/>
      <c r="B1039" s="55"/>
      <c r="C1039" s="55"/>
      <c r="D1039" s="180" t="s">
        <v>2342</v>
      </c>
      <c r="E1039" s="181"/>
      <c r="F1039" s="180"/>
      <c r="G1039" s="92">
        <v>0</v>
      </c>
      <c r="H1039" s="73"/>
      <c r="I1039" s="19"/>
    </row>
    <row r="1040" spans="1:9" ht="12.2" customHeight="1">
      <c r="A1040" s="47"/>
      <c r="B1040" s="55"/>
      <c r="C1040" s="55"/>
      <c r="D1040" s="180" t="s">
        <v>2344</v>
      </c>
      <c r="E1040" s="181"/>
      <c r="F1040" s="180"/>
      <c r="G1040" s="92">
        <v>0</v>
      </c>
      <c r="H1040" s="73"/>
      <c r="I1040" s="19"/>
    </row>
    <row r="1041" spans="1:9" ht="12.2" customHeight="1">
      <c r="A1041" s="47"/>
      <c r="B1041" s="55"/>
      <c r="C1041" s="55"/>
      <c r="D1041" s="180" t="s">
        <v>2345</v>
      </c>
      <c r="E1041" s="181"/>
      <c r="F1041" s="180"/>
      <c r="G1041" s="92">
        <v>0</v>
      </c>
      <c r="H1041" s="73"/>
      <c r="I1041" s="19"/>
    </row>
    <row r="1042" spans="1:9" ht="12.2" customHeight="1">
      <c r="A1042" s="47"/>
      <c r="B1042" s="55"/>
      <c r="C1042" s="55"/>
      <c r="D1042" s="180" t="s">
        <v>2346</v>
      </c>
      <c r="E1042" s="181"/>
      <c r="F1042" s="180"/>
      <c r="G1042" s="92">
        <v>0</v>
      </c>
      <c r="H1042" s="73"/>
      <c r="I1042" s="19"/>
    </row>
    <row r="1043" spans="1:9" ht="12.2" customHeight="1">
      <c r="A1043" s="47"/>
      <c r="B1043" s="55"/>
      <c r="C1043" s="55"/>
      <c r="D1043" s="180" t="s">
        <v>2347</v>
      </c>
      <c r="E1043" s="181"/>
      <c r="F1043" s="180"/>
      <c r="G1043" s="92">
        <v>0</v>
      </c>
      <c r="H1043" s="73"/>
      <c r="I1043" s="19"/>
    </row>
    <row r="1044" spans="1:9" ht="12.2" customHeight="1">
      <c r="A1044" s="47"/>
      <c r="B1044" s="55"/>
      <c r="C1044" s="55"/>
      <c r="D1044" s="180" t="s">
        <v>2348</v>
      </c>
      <c r="E1044" s="181"/>
      <c r="F1044" s="180"/>
      <c r="G1044" s="92">
        <v>0</v>
      </c>
      <c r="H1044" s="73"/>
      <c r="I1044" s="19"/>
    </row>
    <row r="1045" spans="1:9" ht="12.2" customHeight="1">
      <c r="A1045" s="47"/>
      <c r="B1045" s="55"/>
      <c r="C1045" s="55"/>
      <c r="D1045" s="180" t="s">
        <v>2349</v>
      </c>
      <c r="E1045" s="181"/>
      <c r="F1045" s="180"/>
      <c r="G1045" s="92">
        <v>0</v>
      </c>
      <c r="H1045" s="73"/>
      <c r="I1045" s="19"/>
    </row>
    <row r="1046" spans="1:9" ht="12.2" customHeight="1">
      <c r="A1046" s="47"/>
      <c r="B1046" s="55"/>
      <c r="C1046" s="55"/>
      <c r="D1046" s="180" t="s">
        <v>2350</v>
      </c>
      <c r="E1046" s="181"/>
      <c r="F1046" s="180"/>
      <c r="G1046" s="92">
        <v>0</v>
      </c>
      <c r="H1046" s="73"/>
      <c r="I1046" s="19"/>
    </row>
    <row r="1047" spans="1:9" ht="12.2" customHeight="1">
      <c r="A1047" s="47"/>
      <c r="B1047" s="55"/>
      <c r="C1047" s="55"/>
      <c r="D1047" s="180" t="s">
        <v>2351</v>
      </c>
      <c r="E1047" s="181"/>
      <c r="F1047" s="180"/>
      <c r="G1047" s="92">
        <v>0</v>
      </c>
      <c r="H1047" s="73"/>
      <c r="I1047" s="19"/>
    </row>
    <row r="1048" spans="1:9" ht="12.2" customHeight="1">
      <c r="A1048" s="47"/>
      <c r="B1048" s="55"/>
      <c r="C1048" s="55"/>
      <c r="D1048" s="180" t="s">
        <v>2352</v>
      </c>
      <c r="E1048" s="181"/>
      <c r="F1048" s="180"/>
      <c r="G1048" s="92">
        <v>0</v>
      </c>
      <c r="H1048" s="73"/>
      <c r="I1048" s="19"/>
    </row>
    <row r="1049" spans="1:9" ht="12.2" customHeight="1">
      <c r="A1049" s="47"/>
      <c r="B1049" s="55"/>
      <c r="C1049" s="55"/>
      <c r="D1049" s="180" t="s">
        <v>2353</v>
      </c>
      <c r="E1049" s="181"/>
      <c r="F1049" s="180"/>
      <c r="G1049" s="92">
        <v>0</v>
      </c>
      <c r="H1049" s="73"/>
      <c r="I1049" s="19"/>
    </row>
    <row r="1050" spans="1:9" ht="12.2" customHeight="1">
      <c r="A1050" s="47"/>
      <c r="B1050" s="55"/>
      <c r="C1050" s="55"/>
      <c r="D1050" s="180" t="s">
        <v>2354</v>
      </c>
      <c r="E1050" s="181"/>
      <c r="F1050" s="180"/>
      <c r="G1050" s="92">
        <v>0</v>
      </c>
      <c r="H1050" s="73"/>
      <c r="I1050" s="19"/>
    </row>
    <row r="1051" spans="1:9" ht="12.2" customHeight="1">
      <c r="A1051" s="47"/>
      <c r="B1051" s="55"/>
      <c r="C1051" s="55"/>
      <c r="D1051" s="180" t="s">
        <v>2355</v>
      </c>
      <c r="E1051" s="181"/>
      <c r="F1051" s="180"/>
      <c r="G1051" s="92">
        <v>0</v>
      </c>
      <c r="H1051" s="73"/>
      <c r="I1051" s="19"/>
    </row>
    <row r="1052" spans="1:9" ht="12.2" customHeight="1">
      <c r="A1052" s="47"/>
      <c r="B1052" s="55"/>
      <c r="C1052" s="55"/>
      <c r="D1052" s="180" t="s">
        <v>2356</v>
      </c>
      <c r="E1052" s="181"/>
      <c r="F1052" s="180"/>
      <c r="G1052" s="92">
        <v>0</v>
      </c>
      <c r="H1052" s="73"/>
      <c r="I1052" s="19"/>
    </row>
    <row r="1053" spans="1:9" ht="12.2" customHeight="1">
      <c r="A1053" s="47"/>
      <c r="B1053" s="55"/>
      <c r="C1053" s="55"/>
      <c r="D1053" s="180" t="s">
        <v>2357</v>
      </c>
      <c r="E1053" s="181"/>
      <c r="F1053" s="180"/>
      <c r="G1053" s="92">
        <v>0</v>
      </c>
      <c r="H1053" s="73"/>
      <c r="I1053" s="19"/>
    </row>
    <row r="1054" spans="1:9" ht="12.2" customHeight="1">
      <c r="A1054" s="47"/>
      <c r="B1054" s="55"/>
      <c r="C1054" s="55"/>
      <c r="D1054" s="180" t="s">
        <v>2358</v>
      </c>
      <c r="E1054" s="181"/>
      <c r="F1054" s="180"/>
      <c r="G1054" s="92">
        <v>0</v>
      </c>
      <c r="H1054" s="73"/>
      <c r="I1054" s="19"/>
    </row>
    <row r="1055" spans="1:9" ht="12.2" customHeight="1">
      <c r="A1055" s="47"/>
      <c r="B1055" s="55"/>
      <c r="C1055" s="55"/>
      <c r="D1055" s="180" t="s">
        <v>2359</v>
      </c>
      <c r="E1055" s="181"/>
      <c r="F1055" s="180"/>
      <c r="G1055" s="92">
        <v>0</v>
      </c>
      <c r="H1055" s="73"/>
      <c r="I1055" s="19"/>
    </row>
    <row r="1056" spans="1:9">
      <c r="A1056" s="87"/>
      <c r="B1056" s="54"/>
      <c r="C1056" s="54" t="s">
        <v>154</v>
      </c>
      <c r="D1056" s="163" t="s">
        <v>205</v>
      </c>
      <c r="E1056" s="164"/>
      <c r="F1056" s="54"/>
      <c r="G1056" s="77"/>
      <c r="H1056" s="72"/>
      <c r="I1056" s="19"/>
    </row>
    <row r="1057" spans="1:9">
      <c r="A1057" s="47" t="s">
        <v>575</v>
      </c>
      <c r="B1057" s="55" t="s">
        <v>61</v>
      </c>
      <c r="C1057" s="55" t="s">
        <v>792</v>
      </c>
      <c r="D1057" s="165" t="s">
        <v>1195</v>
      </c>
      <c r="E1057" s="166"/>
      <c r="F1057" s="55" t="s">
        <v>1634</v>
      </c>
      <c r="G1057" s="64">
        <v>15.93155</v>
      </c>
      <c r="H1057" s="96">
        <v>0</v>
      </c>
      <c r="I1057" s="19"/>
    </row>
    <row r="1058" spans="1:9">
      <c r="A1058" s="47" t="s">
        <v>576</v>
      </c>
      <c r="B1058" s="55" t="s">
        <v>69</v>
      </c>
      <c r="C1058" s="55" t="s">
        <v>792</v>
      </c>
      <c r="D1058" s="165" t="s">
        <v>1195</v>
      </c>
      <c r="E1058" s="166"/>
      <c r="F1058" s="55" t="s">
        <v>1634</v>
      </c>
      <c r="G1058" s="64">
        <v>102.55798</v>
      </c>
      <c r="H1058" s="96">
        <v>0</v>
      </c>
      <c r="I1058" s="19"/>
    </row>
    <row r="1059" spans="1:9">
      <c r="A1059" s="47" t="s">
        <v>577</v>
      </c>
      <c r="B1059" s="55" t="s">
        <v>71</v>
      </c>
      <c r="C1059" s="55" t="s">
        <v>792</v>
      </c>
      <c r="D1059" s="165" t="s">
        <v>1195</v>
      </c>
      <c r="E1059" s="166"/>
      <c r="F1059" s="55" t="s">
        <v>1634</v>
      </c>
      <c r="G1059" s="64">
        <v>391.48876000000001</v>
      </c>
      <c r="H1059" s="96">
        <v>0</v>
      </c>
      <c r="I1059" s="19"/>
    </row>
    <row r="1060" spans="1:9">
      <c r="A1060" s="87"/>
      <c r="B1060" s="54"/>
      <c r="C1060" s="54" t="s">
        <v>73</v>
      </c>
      <c r="D1060" s="163" t="s">
        <v>232</v>
      </c>
      <c r="E1060" s="164"/>
      <c r="F1060" s="54"/>
      <c r="G1060" s="77"/>
      <c r="H1060" s="72"/>
      <c r="I1060" s="19"/>
    </row>
    <row r="1061" spans="1:9">
      <c r="A1061" s="47" t="s">
        <v>578</v>
      </c>
      <c r="B1061" s="55" t="s">
        <v>73</v>
      </c>
      <c r="C1061" s="55" t="s">
        <v>1108</v>
      </c>
      <c r="D1061" s="165" t="s">
        <v>1620</v>
      </c>
      <c r="E1061" s="166"/>
      <c r="F1061" s="55" t="s">
        <v>1648</v>
      </c>
      <c r="G1061" s="64">
        <v>1</v>
      </c>
      <c r="H1061" s="96">
        <v>0</v>
      </c>
      <c r="I1061" s="19"/>
    </row>
    <row r="1062" spans="1:9">
      <c r="A1062" s="47" t="s">
        <v>579</v>
      </c>
      <c r="B1062" s="55" t="s">
        <v>73</v>
      </c>
      <c r="C1062" s="55" t="s">
        <v>1109</v>
      </c>
      <c r="D1062" s="165" t="s">
        <v>1621</v>
      </c>
      <c r="E1062" s="166"/>
      <c r="F1062" s="55" t="s">
        <v>1648</v>
      </c>
      <c r="G1062" s="64">
        <v>1</v>
      </c>
      <c r="H1062" s="96">
        <v>0</v>
      </c>
      <c r="I1062" s="19"/>
    </row>
    <row r="1063" spans="1:9">
      <c r="A1063" s="47" t="s">
        <v>580</v>
      </c>
      <c r="B1063" s="55" t="s">
        <v>73</v>
      </c>
      <c r="C1063" s="55" t="s">
        <v>1110</v>
      </c>
      <c r="D1063" s="165" t="s">
        <v>1622</v>
      </c>
      <c r="E1063" s="166"/>
      <c r="F1063" s="55" t="s">
        <v>1648</v>
      </c>
      <c r="G1063" s="64">
        <v>1</v>
      </c>
      <c r="H1063" s="96">
        <v>0</v>
      </c>
      <c r="I1063" s="19"/>
    </row>
    <row r="1064" spans="1:9">
      <c r="A1064" s="47" t="s">
        <v>581</v>
      </c>
      <c r="B1064" s="55" t="s">
        <v>73</v>
      </c>
      <c r="C1064" s="55" t="s">
        <v>1111</v>
      </c>
      <c r="D1064" s="165" t="s">
        <v>1623</v>
      </c>
      <c r="E1064" s="166"/>
      <c r="F1064" s="55" t="s">
        <v>1648</v>
      </c>
      <c r="G1064" s="64">
        <v>1</v>
      </c>
      <c r="H1064" s="96">
        <v>0</v>
      </c>
      <c r="I1064" s="19"/>
    </row>
    <row r="1065" spans="1:9">
      <c r="A1065" s="47" t="s">
        <v>582</v>
      </c>
      <c r="B1065" s="55" t="s">
        <v>73</v>
      </c>
      <c r="C1065" s="55" t="s">
        <v>1112</v>
      </c>
      <c r="D1065" s="165" t="s">
        <v>1624</v>
      </c>
      <c r="E1065" s="166"/>
      <c r="F1065" s="55" t="s">
        <v>1648</v>
      </c>
      <c r="G1065" s="64">
        <v>1</v>
      </c>
      <c r="H1065" s="96">
        <v>0</v>
      </c>
      <c r="I1065" s="19"/>
    </row>
    <row r="1066" spans="1:9">
      <c r="A1066" s="47" t="s">
        <v>583</v>
      </c>
      <c r="B1066" s="55" t="s">
        <v>73</v>
      </c>
      <c r="C1066" s="55" t="s">
        <v>1113</v>
      </c>
      <c r="D1066" s="165" t="s">
        <v>1625</v>
      </c>
      <c r="E1066" s="166"/>
      <c r="F1066" s="55" t="s">
        <v>1648</v>
      </c>
      <c r="G1066" s="64">
        <v>1</v>
      </c>
      <c r="H1066" s="96">
        <v>0</v>
      </c>
      <c r="I1066" s="19"/>
    </row>
    <row r="1067" spans="1:9">
      <c r="A1067" s="47" t="s">
        <v>584</v>
      </c>
      <c r="B1067" s="55" t="s">
        <v>73</v>
      </c>
      <c r="C1067" s="55" t="s">
        <v>1114</v>
      </c>
      <c r="D1067" s="165" t="s">
        <v>1626</v>
      </c>
      <c r="E1067" s="166"/>
      <c r="F1067" s="55" t="s">
        <v>1648</v>
      </c>
      <c r="G1067" s="64">
        <v>1</v>
      </c>
      <c r="H1067" s="96">
        <v>0</v>
      </c>
      <c r="I1067" s="19"/>
    </row>
    <row r="1068" spans="1:9">
      <c r="A1068" s="47" t="s">
        <v>585</v>
      </c>
      <c r="B1068" s="55" t="s">
        <v>73</v>
      </c>
      <c r="C1068" s="55" t="s">
        <v>1115</v>
      </c>
      <c r="D1068" s="165" t="s">
        <v>1627</v>
      </c>
      <c r="E1068" s="166"/>
      <c r="F1068" s="55" t="s">
        <v>1648</v>
      </c>
      <c r="G1068" s="64">
        <v>1</v>
      </c>
      <c r="H1068" s="96">
        <v>0</v>
      </c>
      <c r="I1068" s="19"/>
    </row>
    <row r="1069" spans="1:9">
      <c r="A1069" s="47" t="s">
        <v>586</v>
      </c>
      <c r="B1069" s="55" t="s">
        <v>73</v>
      </c>
      <c r="C1069" s="55" t="s">
        <v>1116</v>
      </c>
      <c r="D1069" s="165" t="s">
        <v>1628</v>
      </c>
      <c r="E1069" s="166"/>
      <c r="F1069" s="55" t="s">
        <v>1648</v>
      </c>
      <c r="G1069" s="64">
        <v>1</v>
      </c>
      <c r="H1069" s="96">
        <v>0</v>
      </c>
      <c r="I1069" s="19"/>
    </row>
    <row r="1070" spans="1:9">
      <c r="A1070" s="87"/>
      <c r="B1070" s="54"/>
      <c r="C1070" s="54" t="s">
        <v>163</v>
      </c>
      <c r="D1070" s="163" t="s">
        <v>213</v>
      </c>
      <c r="E1070" s="164"/>
      <c r="F1070" s="54"/>
      <c r="G1070" s="77"/>
      <c r="H1070" s="72"/>
      <c r="I1070" s="19"/>
    </row>
    <row r="1071" spans="1:9" ht="12.2" customHeight="1">
      <c r="A1071" s="47" t="s">
        <v>587</v>
      </c>
      <c r="B1071" s="55" t="s">
        <v>68</v>
      </c>
      <c r="C1071" s="55" t="s">
        <v>992</v>
      </c>
      <c r="D1071" s="180" t="s">
        <v>2360</v>
      </c>
      <c r="E1071" s="181"/>
      <c r="F1071" s="180"/>
      <c r="G1071" s="92">
        <v>0</v>
      </c>
      <c r="H1071" s="96">
        <v>0</v>
      </c>
      <c r="I1071" s="19"/>
    </row>
    <row r="1072" spans="1:9" ht="12.2" customHeight="1">
      <c r="A1072" s="47" t="s">
        <v>588</v>
      </c>
      <c r="B1072" s="55" t="s">
        <v>68</v>
      </c>
      <c r="C1072" s="55" t="s">
        <v>993</v>
      </c>
      <c r="D1072" s="180" t="s">
        <v>2361</v>
      </c>
      <c r="E1072" s="181"/>
      <c r="F1072" s="180"/>
      <c r="G1072" s="92">
        <v>0</v>
      </c>
      <c r="H1072" s="96">
        <v>0</v>
      </c>
      <c r="I1072" s="19"/>
    </row>
    <row r="1073" spans="1:9">
      <c r="A1073" s="48" t="s">
        <v>589</v>
      </c>
      <c r="B1073" s="56" t="s">
        <v>68</v>
      </c>
      <c r="C1073" s="56" t="s">
        <v>994</v>
      </c>
      <c r="D1073" s="170" t="s">
        <v>1487</v>
      </c>
      <c r="E1073" s="171"/>
      <c r="F1073" s="56" t="s">
        <v>1636</v>
      </c>
      <c r="G1073" s="65">
        <v>4</v>
      </c>
      <c r="H1073" s="97">
        <v>0</v>
      </c>
      <c r="I1073" s="19"/>
    </row>
    <row r="1074" spans="1:9">
      <c r="A1074" s="47" t="s">
        <v>590</v>
      </c>
      <c r="B1074" s="55" t="s">
        <v>68</v>
      </c>
      <c r="C1074" s="55" t="s">
        <v>995</v>
      </c>
      <c r="D1074" s="165" t="s">
        <v>1488</v>
      </c>
      <c r="E1074" s="166"/>
      <c r="F1074" s="55" t="s">
        <v>1634</v>
      </c>
      <c r="G1074" s="64">
        <v>0</v>
      </c>
      <c r="H1074" s="96">
        <v>0</v>
      </c>
      <c r="I1074" s="19"/>
    </row>
    <row r="1075" spans="1:9">
      <c r="A1075" s="87"/>
      <c r="B1075" s="54"/>
      <c r="C1075" s="54" t="s">
        <v>164</v>
      </c>
      <c r="D1075" s="163" t="s">
        <v>214</v>
      </c>
      <c r="E1075" s="164"/>
      <c r="F1075" s="54"/>
      <c r="G1075" s="77"/>
      <c r="H1075" s="72"/>
      <c r="I1075" s="19"/>
    </row>
    <row r="1076" spans="1:9" ht="12.2" customHeight="1">
      <c r="A1076" s="47" t="s">
        <v>591</v>
      </c>
      <c r="B1076" s="55" t="s">
        <v>69</v>
      </c>
      <c r="C1076" s="55" t="s">
        <v>1011</v>
      </c>
      <c r="D1076" s="180" t="s">
        <v>2362</v>
      </c>
      <c r="E1076" s="181"/>
      <c r="F1076" s="180"/>
      <c r="G1076" s="92">
        <v>0</v>
      </c>
      <c r="H1076" s="96">
        <v>0</v>
      </c>
      <c r="I1076" s="19"/>
    </row>
    <row r="1077" spans="1:9" ht="12.2" customHeight="1">
      <c r="A1077" s="47"/>
      <c r="B1077" s="55"/>
      <c r="C1077" s="55"/>
      <c r="D1077" s="180" t="s">
        <v>2156</v>
      </c>
      <c r="E1077" s="181"/>
      <c r="F1077" s="180"/>
      <c r="G1077" s="92">
        <v>0</v>
      </c>
      <c r="H1077" s="73"/>
      <c r="I1077" s="19"/>
    </row>
    <row r="1078" spans="1:9" ht="12.2" customHeight="1">
      <c r="A1078" s="47" t="s">
        <v>592</v>
      </c>
      <c r="B1078" s="55" t="s">
        <v>71</v>
      </c>
      <c r="C1078" s="55" t="s">
        <v>1044</v>
      </c>
      <c r="D1078" s="180" t="s">
        <v>2363</v>
      </c>
      <c r="E1078" s="181"/>
      <c r="F1078" s="180"/>
      <c r="G1078" s="92">
        <v>0</v>
      </c>
      <c r="H1078" s="96">
        <v>0</v>
      </c>
      <c r="I1078" s="19"/>
    </row>
    <row r="1079" spans="1:9" ht="12.2" customHeight="1">
      <c r="A1079" s="47" t="s">
        <v>593</v>
      </c>
      <c r="B1079" s="55" t="s">
        <v>71</v>
      </c>
      <c r="C1079" s="55" t="s">
        <v>1045</v>
      </c>
      <c r="D1079" s="180" t="s">
        <v>2363</v>
      </c>
      <c r="E1079" s="181"/>
      <c r="F1079" s="180"/>
      <c r="G1079" s="92">
        <v>0</v>
      </c>
      <c r="H1079" s="96">
        <v>0</v>
      </c>
      <c r="I1079" s="19"/>
    </row>
    <row r="1080" spans="1:9" ht="12.2" customHeight="1">
      <c r="A1080" s="47" t="s">
        <v>594</v>
      </c>
      <c r="B1080" s="55" t="s">
        <v>71</v>
      </c>
      <c r="C1080" s="55" t="s">
        <v>1046</v>
      </c>
      <c r="D1080" s="180" t="s">
        <v>2364</v>
      </c>
      <c r="E1080" s="181"/>
      <c r="F1080" s="180"/>
      <c r="G1080" s="92">
        <v>0</v>
      </c>
      <c r="H1080" s="96">
        <v>0</v>
      </c>
      <c r="I1080" s="19"/>
    </row>
    <row r="1081" spans="1:9" ht="12.2" customHeight="1">
      <c r="A1081" s="47" t="s">
        <v>595</v>
      </c>
      <c r="B1081" s="55" t="s">
        <v>71</v>
      </c>
      <c r="C1081" s="55" t="s">
        <v>1047</v>
      </c>
      <c r="D1081" s="180" t="s">
        <v>2364</v>
      </c>
      <c r="E1081" s="181"/>
      <c r="F1081" s="180"/>
      <c r="G1081" s="92">
        <v>0</v>
      </c>
      <c r="H1081" s="96">
        <v>0</v>
      </c>
      <c r="I1081" s="19"/>
    </row>
    <row r="1082" spans="1:9">
      <c r="A1082" s="87"/>
      <c r="B1082" s="54"/>
      <c r="C1082" s="54" t="s">
        <v>165</v>
      </c>
      <c r="D1082" s="163" t="s">
        <v>215</v>
      </c>
      <c r="E1082" s="164"/>
      <c r="F1082" s="54"/>
      <c r="G1082" s="77"/>
      <c r="H1082" s="72"/>
      <c r="I1082" s="19"/>
    </row>
    <row r="1083" spans="1:9" ht="12.2" customHeight="1">
      <c r="A1083" s="47" t="s">
        <v>596</v>
      </c>
      <c r="B1083" s="55" t="s">
        <v>69</v>
      </c>
      <c r="C1083" s="55" t="s">
        <v>1012</v>
      </c>
      <c r="D1083" s="180" t="s">
        <v>2365</v>
      </c>
      <c r="E1083" s="181"/>
      <c r="F1083" s="180"/>
      <c r="G1083" s="92">
        <v>0</v>
      </c>
      <c r="H1083" s="96">
        <v>0</v>
      </c>
      <c r="I1083" s="19"/>
    </row>
    <row r="1084" spans="1:9" ht="12.2" customHeight="1">
      <c r="A1084" s="47" t="s">
        <v>597</v>
      </c>
      <c r="B1084" s="55" t="s">
        <v>69</v>
      </c>
      <c r="C1084" s="55" t="s">
        <v>1013</v>
      </c>
      <c r="D1084" s="180" t="s">
        <v>2366</v>
      </c>
      <c r="E1084" s="181"/>
      <c r="F1084" s="180"/>
      <c r="G1084" s="92">
        <v>0</v>
      </c>
      <c r="H1084" s="96">
        <v>0</v>
      </c>
      <c r="I1084" s="19"/>
    </row>
    <row r="1085" spans="1:9" ht="12.2" customHeight="1">
      <c r="A1085" s="47" t="s">
        <v>598</v>
      </c>
      <c r="B1085" s="55" t="s">
        <v>69</v>
      </c>
      <c r="C1085" s="55" t="s">
        <v>1014</v>
      </c>
      <c r="D1085" s="180" t="s">
        <v>2366</v>
      </c>
      <c r="E1085" s="181"/>
      <c r="F1085" s="180"/>
      <c r="G1085" s="92">
        <v>0</v>
      </c>
      <c r="H1085" s="96">
        <v>0</v>
      </c>
      <c r="I1085" s="19"/>
    </row>
    <row r="1086" spans="1:9">
      <c r="A1086" s="87"/>
      <c r="B1086" s="54"/>
      <c r="C1086" s="54" t="s">
        <v>166</v>
      </c>
      <c r="D1086" s="163" t="s">
        <v>216</v>
      </c>
      <c r="E1086" s="164"/>
      <c r="F1086" s="54"/>
      <c r="G1086" s="77"/>
      <c r="H1086" s="72"/>
      <c r="I1086" s="19"/>
    </row>
    <row r="1087" spans="1:9" ht="12.2" customHeight="1">
      <c r="A1087" s="47" t="s">
        <v>599</v>
      </c>
      <c r="B1087" s="55" t="s">
        <v>69</v>
      </c>
      <c r="C1087" s="55" t="s">
        <v>1015</v>
      </c>
      <c r="D1087" s="180" t="s">
        <v>2367</v>
      </c>
      <c r="E1087" s="181"/>
      <c r="F1087" s="180"/>
      <c r="G1087" s="92">
        <v>0</v>
      </c>
      <c r="H1087" s="96">
        <v>0</v>
      </c>
      <c r="I1087" s="19"/>
    </row>
    <row r="1088" spans="1:9" ht="12.2" customHeight="1">
      <c r="A1088" s="47"/>
      <c r="B1088" s="55"/>
      <c r="C1088" s="55"/>
      <c r="D1088" s="180" t="s">
        <v>2368</v>
      </c>
      <c r="E1088" s="181"/>
      <c r="F1088" s="180"/>
      <c r="G1088" s="92">
        <v>0</v>
      </c>
      <c r="H1088" s="73"/>
      <c r="I1088" s="19"/>
    </row>
    <row r="1089" spans="1:9">
      <c r="A1089" s="47" t="s">
        <v>600</v>
      </c>
      <c r="B1089" s="55" t="s">
        <v>69</v>
      </c>
      <c r="C1089" s="55" t="s">
        <v>1016</v>
      </c>
      <c r="D1089" s="165" t="s">
        <v>1512</v>
      </c>
      <c r="E1089" s="166"/>
      <c r="F1089" s="55" t="s">
        <v>1634</v>
      </c>
      <c r="G1089" s="64">
        <v>2.2960000000000001E-2</v>
      </c>
      <c r="H1089" s="96">
        <v>0</v>
      </c>
      <c r="I1089" s="19"/>
    </row>
    <row r="1090" spans="1:9" ht="12.2" customHeight="1">
      <c r="A1090" s="19"/>
      <c r="D1090" s="180" t="s">
        <v>2369</v>
      </c>
      <c r="E1090" s="181"/>
      <c r="F1090" s="181"/>
      <c r="G1090" s="92">
        <v>0</v>
      </c>
      <c r="H1090" s="16"/>
      <c r="I1090" s="19"/>
    </row>
    <row r="1091" spans="1:9" ht="12.2" customHeight="1">
      <c r="A1091" s="47"/>
      <c r="B1091" s="55"/>
      <c r="C1091" s="55"/>
      <c r="D1091" s="180" t="s">
        <v>2370</v>
      </c>
      <c r="E1091" s="181"/>
      <c r="F1091" s="180"/>
      <c r="G1091" s="92">
        <v>0</v>
      </c>
      <c r="H1091" s="73"/>
      <c r="I1091" s="19"/>
    </row>
    <row r="1092" spans="1:9" ht="12.2" customHeight="1">
      <c r="A1092" s="47"/>
      <c r="B1092" s="55"/>
      <c r="C1092" s="55"/>
      <c r="D1092" s="180" t="s">
        <v>2371</v>
      </c>
      <c r="E1092" s="181"/>
      <c r="F1092" s="180"/>
      <c r="G1092" s="92">
        <v>0</v>
      </c>
      <c r="H1092" s="73"/>
      <c r="I1092" s="19"/>
    </row>
    <row r="1093" spans="1:9" ht="12.2" customHeight="1">
      <c r="A1093" s="47" t="s">
        <v>601</v>
      </c>
      <c r="B1093" s="55" t="s">
        <v>69</v>
      </c>
      <c r="C1093" s="55" t="s">
        <v>1017</v>
      </c>
      <c r="D1093" s="180" t="s">
        <v>2372</v>
      </c>
      <c r="E1093" s="181"/>
      <c r="F1093" s="180"/>
      <c r="G1093" s="92">
        <v>0</v>
      </c>
      <c r="H1093" s="96">
        <v>0</v>
      </c>
      <c r="I1093" s="19"/>
    </row>
    <row r="1094" spans="1:9" ht="12.2" customHeight="1">
      <c r="A1094" s="47"/>
      <c r="B1094" s="55"/>
      <c r="C1094" s="55"/>
      <c r="D1094" s="180" t="s">
        <v>2373</v>
      </c>
      <c r="E1094" s="181"/>
      <c r="F1094" s="180"/>
      <c r="G1094" s="92">
        <v>0</v>
      </c>
      <c r="H1094" s="73"/>
      <c r="I1094" s="19"/>
    </row>
    <row r="1095" spans="1:9" ht="12.2" customHeight="1">
      <c r="A1095" s="47" t="s">
        <v>602</v>
      </c>
      <c r="B1095" s="55" t="s">
        <v>69</v>
      </c>
      <c r="C1095" s="55" t="s">
        <v>1018</v>
      </c>
      <c r="D1095" s="180" t="s">
        <v>2372</v>
      </c>
      <c r="E1095" s="181"/>
      <c r="F1095" s="180"/>
      <c r="G1095" s="92">
        <v>0</v>
      </c>
      <c r="H1095" s="96">
        <v>0</v>
      </c>
      <c r="I1095" s="19"/>
    </row>
    <row r="1096" spans="1:9" ht="12.2" customHeight="1">
      <c r="A1096" s="47"/>
      <c r="B1096" s="55"/>
      <c r="C1096" s="55"/>
      <c r="D1096" s="180" t="s">
        <v>2373</v>
      </c>
      <c r="E1096" s="181"/>
      <c r="F1096" s="180"/>
      <c r="G1096" s="92">
        <v>0</v>
      </c>
      <c r="H1096" s="73"/>
      <c r="I1096" s="19"/>
    </row>
    <row r="1097" spans="1:9">
      <c r="A1097" s="87"/>
      <c r="B1097" s="54"/>
      <c r="C1097" s="54" t="s">
        <v>167</v>
      </c>
      <c r="D1097" s="163" t="s">
        <v>217</v>
      </c>
      <c r="E1097" s="164"/>
      <c r="F1097" s="54"/>
      <c r="G1097" s="77"/>
      <c r="H1097" s="72"/>
      <c r="I1097" s="19"/>
    </row>
    <row r="1098" spans="1:9" ht="12.2" customHeight="1">
      <c r="A1098" s="47" t="s">
        <v>603</v>
      </c>
      <c r="B1098" s="55" t="s">
        <v>71</v>
      </c>
      <c r="C1098" s="55" t="s">
        <v>1048</v>
      </c>
      <c r="D1098" s="180" t="s">
        <v>2160</v>
      </c>
      <c r="E1098" s="181"/>
      <c r="F1098" s="180"/>
      <c r="G1098" s="92">
        <v>0</v>
      </c>
      <c r="H1098" s="96">
        <v>0</v>
      </c>
      <c r="I1098" s="19"/>
    </row>
    <row r="1099" spans="1:9" ht="12.2" customHeight="1">
      <c r="A1099" s="47" t="s">
        <v>604</v>
      </c>
      <c r="B1099" s="55" t="s">
        <v>71</v>
      </c>
      <c r="C1099" s="55" t="s">
        <v>1049</v>
      </c>
      <c r="D1099" s="180" t="s">
        <v>2160</v>
      </c>
      <c r="E1099" s="181"/>
      <c r="F1099" s="180"/>
      <c r="G1099" s="92">
        <v>0</v>
      </c>
      <c r="H1099" s="96">
        <v>0</v>
      </c>
      <c r="I1099" s="19"/>
    </row>
    <row r="1100" spans="1:9">
      <c r="A1100" s="47" t="s">
        <v>605</v>
      </c>
      <c r="B1100" s="55" t="s">
        <v>71</v>
      </c>
      <c r="C1100" s="55" t="s">
        <v>1050</v>
      </c>
      <c r="D1100" s="165" t="s">
        <v>1553</v>
      </c>
      <c r="E1100" s="166"/>
      <c r="F1100" s="55" t="s">
        <v>1632</v>
      </c>
      <c r="G1100" s="64">
        <v>109.5</v>
      </c>
      <c r="H1100" s="96">
        <v>0</v>
      </c>
      <c r="I1100" s="19"/>
    </row>
    <row r="1101" spans="1:9" ht="12.2" customHeight="1">
      <c r="A1101" s="19"/>
      <c r="D1101" s="180" t="s">
        <v>2374</v>
      </c>
      <c r="E1101" s="181"/>
      <c r="F1101" s="181"/>
      <c r="G1101" s="92">
        <v>0</v>
      </c>
      <c r="H1101" s="16"/>
      <c r="I1101" s="19"/>
    </row>
    <row r="1102" spans="1:9" ht="12.2" customHeight="1">
      <c r="A1102" s="47"/>
      <c r="B1102" s="55"/>
      <c r="C1102" s="55"/>
      <c r="D1102" s="180" t="s">
        <v>2375</v>
      </c>
      <c r="E1102" s="181"/>
      <c r="F1102" s="180"/>
      <c r="G1102" s="92">
        <v>0</v>
      </c>
      <c r="H1102" s="73"/>
      <c r="I1102" s="19"/>
    </row>
    <row r="1103" spans="1:9" ht="12.2" customHeight="1">
      <c r="A1103" s="47"/>
      <c r="B1103" s="55"/>
      <c r="C1103" s="55"/>
      <c r="D1103" s="180" t="s">
        <v>2376</v>
      </c>
      <c r="E1103" s="181"/>
      <c r="F1103" s="180"/>
      <c r="G1103" s="92">
        <v>0</v>
      </c>
      <c r="H1103" s="73"/>
      <c r="I1103" s="19"/>
    </row>
    <row r="1104" spans="1:9" ht="12.2" customHeight="1">
      <c r="A1104" s="47" t="s">
        <v>606</v>
      </c>
      <c r="B1104" s="55" t="s">
        <v>71</v>
      </c>
      <c r="C1104" s="55" t="s">
        <v>1050</v>
      </c>
      <c r="D1104" s="180" t="s">
        <v>2377</v>
      </c>
      <c r="E1104" s="181"/>
      <c r="F1104" s="180"/>
      <c r="G1104" s="92">
        <v>0</v>
      </c>
      <c r="H1104" s="96">
        <v>0</v>
      </c>
      <c r="I1104" s="19"/>
    </row>
    <row r="1105" spans="1:9" ht="12.2" customHeight="1">
      <c r="A1105" s="47" t="s">
        <v>607</v>
      </c>
      <c r="B1105" s="55" t="s">
        <v>71</v>
      </c>
      <c r="C1105" s="55" t="s">
        <v>1051</v>
      </c>
      <c r="D1105" s="180" t="s">
        <v>2160</v>
      </c>
      <c r="E1105" s="181"/>
      <c r="F1105" s="180"/>
      <c r="G1105" s="92">
        <v>0</v>
      </c>
      <c r="H1105" s="96">
        <v>0</v>
      </c>
      <c r="I1105" s="19"/>
    </row>
    <row r="1106" spans="1:9" ht="12.2" customHeight="1">
      <c r="A1106" s="47" t="s">
        <v>608</v>
      </c>
      <c r="B1106" s="55" t="s">
        <v>71</v>
      </c>
      <c r="C1106" s="55" t="s">
        <v>1052</v>
      </c>
      <c r="D1106" s="180" t="s">
        <v>2377</v>
      </c>
      <c r="E1106" s="181"/>
      <c r="F1106" s="180"/>
      <c r="G1106" s="92">
        <v>0</v>
      </c>
      <c r="H1106" s="96">
        <v>0</v>
      </c>
      <c r="I1106" s="19"/>
    </row>
    <row r="1107" spans="1:9">
      <c r="A1107" s="47" t="s">
        <v>609</v>
      </c>
      <c r="B1107" s="55" t="s">
        <v>71</v>
      </c>
      <c r="C1107" s="55" t="s">
        <v>1053</v>
      </c>
      <c r="D1107" s="165" t="s">
        <v>1556</v>
      </c>
      <c r="E1107" s="166"/>
      <c r="F1107" s="55" t="s">
        <v>1632</v>
      </c>
      <c r="G1107" s="64">
        <v>109.5</v>
      </c>
      <c r="H1107" s="96">
        <v>0</v>
      </c>
      <c r="I1107" s="19"/>
    </row>
    <row r="1108" spans="1:9" ht="12.2" customHeight="1">
      <c r="A1108" s="19"/>
      <c r="D1108" s="180" t="s">
        <v>2374</v>
      </c>
      <c r="E1108" s="181"/>
      <c r="F1108" s="181"/>
      <c r="G1108" s="92">
        <v>0</v>
      </c>
      <c r="H1108" s="16"/>
      <c r="I1108" s="19"/>
    </row>
    <row r="1109" spans="1:9" ht="12.2" customHeight="1">
      <c r="A1109" s="47"/>
      <c r="B1109" s="55"/>
      <c r="C1109" s="55"/>
      <c r="D1109" s="180" t="s">
        <v>2375</v>
      </c>
      <c r="E1109" s="181"/>
      <c r="F1109" s="180"/>
      <c r="G1109" s="92">
        <v>0</v>
      </c>
      <c r="H1109" s="73"/>
      <c r="I1109" s="19"/>
    </row>
    <row r="1110" spans="1:9" ht="12.2" customHeight="1">
      <c r="A1110" s="47"/>
      <c r="B1110" s="55"/>
      <c r="C1110" s="55"/>
      <c r="D1110" s="180" t="s">
        <v>2376</v>
      </c>
      <c r="E1110" s="181"/>
      <c r="F1110" s="180"/>
      <c r="G1110" s="92">
        <v>0</v>
      </c>
      <c r="H1110" s="73"/>
      <c r="I1110" s="19"/>
    </row>
    <row r="1111" spans="1:9" ht="12.2" customHeight="1">
      <c r="A1111" s="47" t="s">
        <v>610</v>
      </c>
      <c r="B1111" s="55" t="s">
        <v>71</v>
      </c>
      <c r="C1111" s="55" t="s">
        <v>1054</v>
      </c>
      <c r="D1111" s="180" t="s">
        <v>2159</v>
      </c>
      <c r="E1111" s="181"/>
      <c r="F1111" s="180"/>
      <c r="G1111" s="92">
        <v>0</v>
      </c>
      <c r="H1111" s="96">
        <v>0</v>
      </c>
      <c r="I1111" s="19"/>
    </row>
    <row r="1112" spans="1:9" ht="12.2" customHeight="1">
      <c r="A1112" s="47" t="s">
        <v>611</v>
      </c>
      <c r="B1112" s="55" t="s">
        <v>71</v>
      </c>
      <c r="C1112" s="55" t="s">
        <v>1055</v>
      </c>
      <c r="D1112" s="180" t="s">
        <v>2378</v>
      </c>
      <c r="E1112" s="181"/>
      <c r="F1112" s="180"/>
      <c r="G1112" s="92">
        <v>0</v>
      </c>
      <c r="H1112" s="96">
        <v>0</v>
      </c>
      <c r="I1112" s="19"/>
    </row>
    <row r="1113" spans="1:9" ht="12.2" customHeight="1">
      <c r="A1113" s="47" t="s">
        <v>612</v>
      </c>
      <c r="B1113" s="55" t="s">
        <v>71</v>
      </c>
      <c r="C1113" s="55" t="s">
        <v>1056</v>
      </c>
      <c r="D1113" s="180" t="s">
        <v>2379</v>
      </c>
      <c r="E1113" s="181"/>
      <c r="F1113" s="180"/>
      <c r="G1113" s="92">
        <v>0</v>
      </c>
      <c r="H1113" s="96">
        <v>0</v>
      </c>
      <c r="I1113" s="19"/>
    </row>
    <row r="1114" spans="1:9" ht="12.2" customHeight="1">
      <c r="A1114" s="47" t="s">
        <v>613</v>
      </c>
      <c r="B1114" s="55" t="s">
        <v>71</v>
      </c>
      <c r="C1114" s="55" t="s">
        <v>1057</v>
      </c>
      <c r="D1114" s="180" t="s">
        <v>2380</v>
      </c>
      <c r="E1114" s="181"/>
      <c r="F1114" s="180"/>
      <c r="G1114" s="92">
        <v>0</v>
      </c>
      <c r="H1114" s="96">
        <v>0</v>
      </c>
      <c r="I1114" s="19"/>
    </row>
    <row r="1115" spans="1:9">
      <c r="A1115" s="87"/>
      <c r="B1115" s="54"/>
      <c r="C1115" s="54" t="s">
        <v>168</v>
      </c>
      <c r="D1115" s="163" t="s">
        <v>218</v>
      </c>
      <c r="E1115" s="164"/>
      <c r="F1115" s="54"/>
      <c r="G1115" s="77"/>
      <c r="H1115" s="72"/>
      <c r="I1115" s="19"/>
    </row>
    <row r="1116" spans="1:9">
      <c r="A1116" s="47" t="s">
        <v>614</v>
      </c>
      <c r="B1116" s="55" t="s">
        <v>71</v>
      </c>
      <c r="C1116" s="55" t="s">
        <v>1058</v>
      </c>
      <c r="D1116" s="165" t="s">
        <v>1561</v>
      </c>
      <c r="E1116" s="166"/>
      <c r="F1116" s="55" t="s">
        <v>1638</v>
      </c>
      <c r="G1116" s="64">
        <v>16.425000000000001</v>
      </c>
      <c r="H1116" s="96">
        <v>0</v>
      </c>
      <c r="I1116" s="19"/>
    </row>
    <row r="1117" spans="1:9" ht="12.2" customHeight="1">
      <c r="A1117" s="19"/>
      <c r="D1117" s="180" t="s">
        <v>2381</v>
      </c>
      <c r="E1117" s="181"/>
      <c r="F1117" s="181"/>
      <c r="G1117" s="92">
        <v>0</v>
      </c>
      <c r="H1117" s="16"/>
      <c r="I1117" s="19"/>
    </row>
    <row r="1118" spans="1:9" ht="12.2" customHeight="1">
      <c r="A1118" s="47"/>
      <c r="B1118" s="55"/>
      <c r="C1118" s="55"/>
      <c r="D1118" s="180" t="s">
        <v>2382</v>
      </c>
      <c r="E1118" s="181"/>
      <c r="F1118" s="180"/>
      <c r="G1118" s="92">
        <v>0</v>
      </c>
      <c r="H1118" s="73"/>
      <c r="I1118" s="19"/>
    </row>
    <row r="1119" spans="1:9" ht="12.2" customHeight="1">
      <c r="A1119" s="47"/>
      <c r="B1119" s="55"/>
      <c r="C1119" s="55"/>
      <c r="D1119" s="180" t="s">
        <v>2383</v>
      </c>
      <c r="E1119" s="181"/>
      <c r="F1119" s="180"/>
      <c r="G1119" s="92">
        <v>0</v>
      </c>
      <c r="H1119" s="73"/>
      <c r="I1119" s="19"/>
    </row>
    <row r="1120" spans="1:9">
      <c r="A1120" s="87"/>
      <c r="B1120" s="54"/>
      <c r="C1120" s="54" t="s">
        <v>169</v>
      </c>
      <c r="D1120" s="163" t="s">
        <v>219</v>
      </c>
      <c r="E1120" s="164"/>
      <c r="F1120" s="54"/>
      <c r="G1120" s="77"/>
      <c r="H1120" s="72"/>
      <c r="I1120" s="19"/>
    </row>
    <row r="1121" spans="1:9">
      <c r="A1121" s="47" t="s">
        <v>615</v>
      </c>
      <c r="B1121" s="55" t="s">
        <v>71</v>
      </c>
      <c r="C1121" s="55" t="s">
        <v>1059</v>
      </c>
      <c r="D1121" s="165" t="s">
        <v>1562</v>
      </c>
      <c r="E1121" s="166"/>
      <c r="F1121" s="55" t="s">
        <v>1638</v>
      </c>
      <c r="G1121" s="64">
        <v>102.4455</v>
      </c>
      <c r="H1121" s="96">
        <v>0</v>
      </c>
      <c r="I1121" s="19"/>
    </row>
    <row r="1122" spans="1:9" ht="12.2" customHeight="1">
      <c r="A1122" s="19"/>
      <c r="D1122" s="180" t="s">
        <v>2384</v>
      </c>
      <c r="E1122" s="181"/>
      <c r="F1122" s="181"/>
      <c r="G1122" s="92">
        <v>0</v>
      </c>
      <c r="H1122" s="16"/>
      <c r="I1122" s="19"/>
    </row>
    <row r="1123" spans="1:9" ht="12.2" customHeight="1">
      <c r="A1123" s="47"/>
      <c r="B1123" s="55"/>
      <c r="C1123" s="55"/>
      <c r="D1123" s="180" t="s">
        <v>2385</v>
      </c>
      <c r="E1123" s="181"/>
      <c r="F1123" s="180"/>
      <c r="G1123" s="92">
        <v>0</v>
      </c>
      <c r="H1123" s="73"/>
      <c r="I1123" s="19"/>
    </row>
    <row r="1124" spans="1:9" ht="12.2" customHeight="1">
      <c r="A1124" s="47"/>
      <c r="B1124" s="55"/>
      <c r="C1124" s="55"/>
      <c r="D1124" s="180" t="s">
        <v>2386</v>
      </c>
      <c r="E1124" s="181"/>
      <c r="F1124" s="180"/>
      <c r="G1124" s="92">
        <v>0</v>
      </c>
      <c r="H1124" s="73"/>
      <c r="I1124" s="19"/>
    </row>
    <row r="1125" spans="1:9" ht="12.2" customHeight="1">
      <c r="A1125" s="47"/>
      <c r="B1125" s="55"/>
      <c r="C1125" s="55"/>
      <c r="D1125" s="180" t="s">
        <v>2387</v>
      </c>
      <c r="E1125" s="181"/>
      <c r="F1125" s="180"/>
      <c r="G1125" s="92">
        <v>0</v>
      </c>
      <c r="H1125" s="73"/>
      <c r="I1125" s="19"/>
    </row>
    <row r="1126" spans="1:9">
      <c r="A1126" s="47" t="s">
        <v>616</v>
      </c>
      <c r="B1126" s="55" t="s">
        <v>71</v>
      </c>
      <c r="C1126" s="55" t="s">
        <v>1060</v>
      </c>
      <c r="D1126" s="165" t="s">
        <v>1563</v>
      </c>
      <c r="E1126" s="166"/>
      <c r="F1126" s="55" t="s">
        <v>1638</v>
      </c>
      <c r="G1126" s="64">
        <v>102.4455</v>
      </c>
      <c r="H1126" s="96">
        <v>0</v>
      </c>
      <c r="I1126" s="19"/>
    </row>
    <row r="1127" spans="1:9" ht="12.2" customHeight="1">
      <c r="A1127" s="19"/>
      <c r="D1127" s="180" t="s">
        <v>2384</v>
      </c>
      <c r="E1127" s="181"/>
      <c r="F1127" s="181"/>
      <c r="G1127" s="92">
        <v>0</v>
      </c>
      <c r="H1127" s="16"/>
      <c r="I1127" s="19"/>
    </row>
    <row r="1128" spans="1:9" ht="12.2" customHeight="1">
      <c r="A1128" s="47"/>
      <c r="B1128" s="55"/>
      <c r="C1128" s="55"/>
      <c r="D1128" s="180" t="s">
        <v>2385</v>
      </c>
      <c r="E1128" s="181"/>
      <c r="F1128" s="180"/>
      <c r="G1128" s="92">
        <v>0</v>
      </c>
      <c r="H1128" s="73"/>
      <c r="I1128" s="19"/>
    </row>
    <row r="1129" spans="1:9" ht="12.2" customHeight="1">
      <c r="A1129" s="47"/>
      <c r="B1129" s="55"/>
      <c r="C1129" s="55"/>
      <c r="D1129" s="180" t="s">
        <v>2386</v>
      </c>
      <c r="E1129" s="181"/>
      <c r="F1129" s="180"/>
      <c r="G1129" s="92">
        <v>0</v>
      </c>
      <c r="H1129" s="73"/>
      <c r="I1129" s="19"/>
    </row>
    <row r="1130" spans="1:9" ht="12.2" customHeight="1">
      <c r="A1130" s="47"/>
      <c r="B1130" s="55"/>
      <c r="C1130" s="55"/>
      <c r="D1130" s="180" t="s">
        <v>2387</v>
      </c>
      <c r="E1130" s="181"/>
      <c r="F1130" s="180"/>
      <c r="G1130" s="92">
        <v>0</v>
      </c>
      <c r="H1130" s="73"/>
      <c r="I1130" s="19"/>
    </row>
    <row r="1131" spans="1:9">
      <c r="A1131" s="47" t="s">
        <v>617</v>
      </c>
      <c r="B1131" s="55" t="s">
        <v>71</v>
      </c>
      <c r="C1131" s="55" t="s">
        <v>1061</v>
      </c>
      <c r="D1131" s="165" t="s">
        <v>1564</v>
      </c>
      <c r="E1131" s="166"/>
      <c r="F1131" s="55" t="s">
        <v>1638</v>
      </c>
      <c r="G1131" s="64">
        <v>102.4455</v>
      </c>
      <c r="H1131" s="96">
        <v>0</v>
      </c>
      <c r="I1131" s="19"/>
    </row>
    <row r="1132" spans="1:9" ht="12.2" customHeight="1">
      <c r="A1132" s="19"/>
      <c r="D1132" s="180" t="s">
        <v>2384</v>
      </c>
      <c r="E1132" s="181"/>
      <c r="F1132" s="181"/>
      <c r="G1132" s="92">
        <v>0</v>
      </c>
      <c r="H1132" s="16"/>
      <c r="I1132" s="19"/>
    </row>
    <row r="1133" spans="1:9" ht="12.2" customHeight="1">
      <c r="A1133" s="47"/>
      <c r="B1133" s="55"/>
      <c r="C1133" s="55"/>
      <c r="D1133" s="180" t="s">
        <v>2385</v>
      </c>
      <c r="E1133" s="181"/>
      <c r="F1133" s="180"/>
      <c r="G1133" s="92">
        <v>0</v>
      </c>
      <c r="H1133" s="73"/>
      <c r="I1133" s="19"/>
    </row>
    <row r="1134" spans="1:9" ht="12.2" customHeight="1">
      <c r="A1134" s="47"/>
      <c r="B1134" s="55"/>
      <c r="C1134" s="55"/>
      <c r="D1134" s="180" t="s">
        <v>2386</v>
      </c>
      <c r="E1134" s="181"/>
      <c r="F1134" s="180"/>
      <c r="G1134" s="92">
        <v>0</v>
      </c>
      <c r="H1134" s="73"/>
      <c r="I1134" s="19"/>
    </row>
    <row r="1135" spans="1:9" ht="12.2" customHeight="1">
      <c r="A1135" s="47"/>
      <c r="B1135" s="55"/>
      <c r="C1135" s="55"/>
      <c r="D1135" s="180" t="s">
        <v>2387</v>
      </c>
      <c r="E1135" s="181"/>
      <c r="F1135" s="180"/>
      <c r="G1135" s="92">
        <v>0</v>
      </c>
      <c r="H1135" s="73"/>
      <c r="I1135" s="19"/>
    </row>
    <row r="1136" spans="1:9">
      <c r="A1136" s="47" t="s">
        <v>618</v>
      </c>
      <c r="B1136" s="55" t="s">
        <v>71</v>
      </c>
      <c r="C1136" s="55" t="s">
        <v>1062</v>
      </c>
      <c r="D1136" s="165" t="s">
        <v>1565</v>
      </c>
      <c r="E1136" s="166"/>
      <c r="F1136" s="55" t="s">
        <v>1638</v>
      </c>
      <c r="G1136" s="64">
        <v>102.4455</v>
      </c>
      <c r="H1136" s="96">
        <v>0</v>
      </c>
      <c r="I1136" s="19"/>
    </row>
    <row r="1137" spans="1:9" ht="12.2" customHeight="1">
      <c r="A1137" s="19"/>
      <c r="D1137" s="180" t="s">
        <v>2384</v>
      </c>
      <c r="E1137" s="181"/>
      <c r="F1137" s="181"/>
      <c r="G1137" s="92">
        <v>0</v>
      </c>
      <c r="H1137" s="16"/>
      <c r="I1137" s="19"/>
    </row>
    <row r="1138" spans="1:9" ht="12.2" customHeight="1">
      <c r="A1138" s="47"/>
      <c r="B1138" s="55"/>
      <c r="C1138" s="55"/>
      <c r="D1138" s="180" t="s">
        <v>2385</v>
      </c>
      <c r="E1138" s="181"/>
      <c r="F1138" s="180"/>
      <c r="G1138" s="92">
        <v>0</v>
      </c>
      <c r="H1138" s="73"/>
      <c r="I1138" s="19"/>
    </row>
    <row r="1139" spans="1:9" ht="12.2" customHeight="1">
      <c r="A1139" s="47"/>
      <c r="B1139" s="55"/>
      <c r="C1139" s="55"/>
      <c r="D1139" s="180" t="s">
        <v>2386</v>
      </c>
      <c r="E1139" s="181"/>
      <c r="F1139" s="180"/>
      <c r="G1139" s="92">
        <v>0</v>
      </c>
      <c r="H1139" s="73"/>
      <c r="I1139" s="19"/>
    </row>
    <row r="1140" spans="1:9" ht="12.2" customHeight="1">
      <c r="A1140" s="47"/>
      <c r="B1140" s="55"/>
      <c r="C1140" s="55"/>
      <c r="D1140" s="180" t="s">
        <v>2387</v>
      </c>
      <c r="E1140" s="181"/>
      <c r="F1140" s="180"/>
      <c r="G1140" s="92">
        <v>0</v>
      </c>
      <c r="H1140" s="73"/>
      <c r="I1140" s="19"/>
    </row>
    <row r="1141" spans="1:9">
      <c r="A1141" s="47" t="s">
        <v>619</v>
      </c>
      <c r="B1141" s="55" t="s">
        <v>71</v>
      </c>
      <c r="C1141" s="55" t="s">
        <v>1063</v>
      </c>
      <c r="D1141" s="165" t="s">
        <v>1566</v>
      </c>
      <c r="E1141" s="166"/>
      <c r="F1141" s="55" t="s">
        <v>1638</v>
      </c>
      <c r="G1141" s="64">
        <v>102.4455</v>
      </c>
      <c r="H1141" s="96">
        <v>0</v>
      </c>
      <c r="I1141" s="19"/>
    </row>
    <row r="1142" spans="1:9" ht="12.2" customHeight="1">
      <c r="A1142" s="19"/>
      <c r="D1142" s="180" t="s">
        <v>2384</v>
      </c>
      <c r="E1142" s="181"/>
      <c r="F1142" s="181"/>
      <c r="G1142" s="92">
        <v>0</v>
      </c>
      <c r="H1142" s="16"/>
      <c r="I1142" s="19"/>
    </row>
    <row r="1143" spans="1:9" ht="12.2" customHeight="1">
      <c r="A1143" s="47"/>
      <c r="B1143" s="55"/>
      <c r="C1143" s="55"/>
      <c r="D1143" s="180" t="s">
        <v>2385</v>
      </c>
      <c r="E1143" s="181"/>
      <c r="F1143" s="180"/>
      <c r="G1143" s="92">
        <v>0</v>
      </c>
      <c r="H1143" s="73"/>
      <c r="I1143" s="19"/>
    </row>
    <row r="1144" spans="1:9" ht="12.2" customHeight="1">
      <c r="A1144" s="47"/>
      <c r="B1144" s="55"/>
      <c r="C1144" s="55"/>
      <c r="D1144" s="180" t="s">
        <v>2386</v>
      </c>
      <c r="E1144" s="181"/>
      <c r="F1144" s="180"/>
      <c r="G1144" s="92">
        <v>0</v>
      </c>
      <c r="H1144" s="73"/>
      <c r="I1144" s="19"/>
    </row>
    <row r="1145" spans="1:9" ht="12.2" customHeight="1">
      <c r="A1145" s="47"/>
      <c r="B1145" s="55"/>
      <c r="C1145" s="55"/>
      <c r="D1145" s="180" t="s">
        <v>2387</v>
      </c>
      <c r="E1145" s="181"/>
      <c r="F1145" s="180"/>
      <c r="G1145" s="92">
        <v>0</v>
      </c>
      <c r="H1145" s="73"/>
      <c r="I1145" s="19"/>
    </row>
    <row r="1146" spans="1:9">
      <c r="A1146" s="87"/>
      <c r="B1146" s="54"/>
      <c r="C1146" s="54" t="s">
        <v>170</v>
      </c>
      <c r="D1146" s="163" t="s">
        <v>220</v>
      </c>
      <c r="E1146" s="164"/>
      <c r="F1146" s="54"/>
      <c r="G1146" s="77"/>
      <c r="H1146" s="72"/>
      <c r="I1146" s="19"/>
    </row>
    <row r="1147" spans="1:9">
      <c r="A1147" s="47" t="s">
        <v>620</v>
      </c>
      <c r="B1147" s="55" t="s">
        <v>71</v>
      </c>
      <c r="C1147" s="55" t="s">
        <v>1064</v>
      </c>
      <c r="D1147" s="165" t="s">
        <v>1443</v>
      </c>
      <c r="E1147" s="166"/>
      <c r="F1147" s="55" t="s">
        <v>1638</v>
      </c>
      <c r="G1147" s="64">
        <v>90.514499999999998</v>
      </c>
      <c r="H1147" s="96">
        <v>0</v>
      </c>
      <c r="I1147" s="19"/>
    </row>
    <row r="1148" spans="1:9" ht="12.2" customHeight="1">
      <c r="A1148" s="19"/>
      <c r="D1148" s="180" t="s">
        <v>2363</v>
      </c>
      <c r="E1148" s="181"/>
      <c r="F1148" s="181"/>
      <c r="G1148" s="92">
        <v>0</v>
      </c>
      <c r="H1148" s="16"/>
      <c r="I1148" s="19"/>
    </row>
    <row r="1149" spans="1:9" ht="12.2" customHeight="1">
      <c r="A1149" s="47"/>
      <c r="B1149" s="55"/>
      <c r="C1149" s="55"/>
      <c r="D1149" s="180" t="s">
        <v>2364</v>
      </c>
      <c r="E1149" s="181"/>
      <c r="F1149" s="180"/>
      <c r="G1149" s="92">
        <v>0</v>
      </c>
      <c r="H1149" s="73"/>
      <c r="I1149" s="19"/>
    </row>
    <row r="1150" spans="1:9" ht="12.2" customHeight="1">
      <c r="A1150" s="47"/>
      <c r="B1150" s="55"/>
      <c r="C1150" s="55"/>
      <c r="D1150" s="180" t="s">
        <v>2388</v>
      </c>
      <c r="E1150" s="181"/>
      <c r="F1150" s="180"/>
      <c r="G1150" s="92">
        <v>0</v>
      </c>
      <c r="H1150" s="73"/>
      <c r="I1150" s="19"/>
    </row>
    <row r="1151" spans="1:9" ht="12.2" customHeight="1">
      <c r="A1151" s="47"/>
      <c r="B1151" s="55"/>
      <c r="C1151" s="55"/>
      <c r="D1151" s="180" t="s">
        <v>2389</v>
      </c>
      <c r="E1151" s="181"/>
      <c r="F1151" s="180"/>
      <c r="G1151" s="92">
        <v>0</v>
      </c>
      <c r="H1151" s="73"/>
      <c r="I1151" s="19"/>
    </row>
    <row r="1152" spans="1:9" ht="12.2" customHeight="1">
      <c r="A1152" s="47"/>
      <c r="B1152" s="55"/>
      <c r="C1152" s="55"/>
      <c r="D1152" s="180" t="s">
        <v>2390</v>
      </c>
      <c r="E1152" s="181"/>
      <c r="F1152" s="180"/>
      <c r="G1152" s="92">
        <v>0</v>
      </c>
      <c r="H1152" s="73"/>
      <c r="I1152" s="19"/>
    </row>
    <row r="1153" spans="1:9" ht="12.2" customHeight="1">
      <c r="A1153" s="47"/>
      <c r="B1153" s="55"/>
      <c r="C1153" s="55"/>
      <c r="D1153" s="180" t="s">
        <v>2391</v>
      </c>
      <c r="E1153" s="181"/>
      <c r="F1153" s="180"/>
      <c r="G1153" s="92">
        <v>0</v>
      </c>
      <c r="H1153" s="73"/>
      <c r="I1153" s="19"/>
    </row>
    <row r="1154" spans="1:9" ht="12.2" customHeight="1">
      <c r="A1154" s="47" t="s">
        <v>621</v>
      </c>
      <c r="B1154" s="55" t="s">
        <v>71</v>
      </c>
      <c r="C1154" s="55" t="s">
        <v>1065</v>
      </c>
      <c r="D1154" s="180" t="s">
        <v>2387</v>
      </c>
      <c r="E1154" s="181"/>
      <c r="F1154" s="180"/>
      <c r="G1154" s="92">
        <v>0</v>
      </c>
      <c r="H1154" s="96">
        <v>0</v>
      </c>
      <c r="I1154" s="19"/>
    </row>
    <row r="1155" spans="1:9" ht="12.2" customHeight="1">
      <c r="A1155" s="48" t="s">
        <v>622</v>
      </c>
      <c r="B1155" s="56" t="s">
        <v>71</v>
      </c>
      <c r="C1155" s="56" t="s">
        <v>1066</v>
      </c>
      <c r="D1155" s="182" t="s">
        <v>2392</v>
      </c>
      <c r="E1155" s="183"/>
      <c r="F1155" s="182"/>
      <c r="G1155" s="93">
        <v>0</v>
      </c>
      <c r="H1155" s="97">
        <v>0</v>
      </c>
      <c r="I1155" s="19"/>
    </row>
    <row r="1156" spans="1:9" ht="12.2" customHeight="1">
      <c r="A1156" s="47" t="s">
        <v>623</v>
      </c>
      <c r="B1156" s="55" t="s">
        <v>71</v>
      </c>
      <c r="C1156" s="55" t="s">
        <v>1067</v>
      </c>
      <c r="D1156" s="180" t="s">
        <v>2385</v>
      </c>
      <c r="E1156" s="181"/>
      <c r="F1156" s="180"/>
      <c r="G1156" s="92">
        <v>0</v>
      </c>
      <c r="H1156" s="96">
        <v>0</v>
      </c>
      <c r="I1156" s="19"/>
    </row>
    <row r="1157" spans="1:9" ht="12.2" customHeight="1">
      <c r="A1157" s="48" t="s">
        <v>624</v>
      </c>
      <c r="B1157" s="56" t="s">
        <v>71</v>
      </c>
      <c r="C1157" s="56" t="s">
        <v>1068</v>
      </c>
      <c r="D1157" s="182" t="s">
        <v>2393</v>
      </c>
      <c r="E1157" s="183"/>
      <c r="F1157" s="182"/>
      <c r="G1157" s="93">
        <v>0</v>
      </c>
      <c r="H1157" s="97">
        <v>0</v>
      </c>
      <c r="I1157" s="19"/>
    </row>
    <row r="1158" spans="1:9">
      <c r="A1158" s="87"/>
      <c r="B1158" s="54"/>
      <c r="C1158" s="54" t="s">
        <v>171</v>
      </c>
      <c r="D1158" s="163" t="s">
        <v>221</v>
      </c>
      <c r="E1158" s="164"/>
      <c r="F1158" s="54"/>
      <c r="G1158" s="77"/>
      <c r="H1158" s="72"/>
      <c r="I1158" s="19"/>
    </row>
    <row r="1159" spans="1:9">
      <c r="A1159" s="47" t="s">
        <v>625</v>
      </c>
      <c r="B1159" s="55" t="s">
        <v>71</v>
      </c>
      <c r="C1159" s="55" t="s">
        <v>1069</v>
      </c>
      <c r="D1159" s="165" t="s">
        <v>1571</v>
      </c>
      <c r="E1159" s="166"/>
      <c r="F1159" s="55" t="s">
        <v>1632</v>
      </c>
      <c r="G1159" s="64">
        <v>129.5</v>
      </c>
      <c r="H1159" s="96">
        <v>0</v>
      </c>
      <c r="I1159" s="19"/>
    </row>
    <row r="1160" spans="1:9" ht="12.2" customHeight="1">
      <c r="A1160" s="19"/>
      <c r="D1160" s="180" t="s">
        <v>2374</v>
      </c>
      <c r="E1160" s="181"/>
      <c r="F1160" s="181"/>
      <c r="G1160" s="92">
        <v>0</v>
      </c>
      <c r="H1160" s="16"/>
      <c r="I1160" s="19"/>
    </row>
    <row r="1161" spans="1:9" ht="12.2" customHeight="1">
      <c r="A1161" s="47"/>
      <c r="B1161" s="55"/>
      <c r="C1161" s="55"/>
      <c r="D1161" s="180" t="s">
        <v>2375</v>
      </c>
      <c r="E1161" s="181"/>
      <c r="F1161" s="180"/>
      <c r="G1161" s="92">
        <v>0</v>
      </c>
      <c r="H1161" s="73"/>
      <c r="I1161" s="19"/>
    </row>
    <row r="1162" spans="1:9" ht="12.2" customHeight="1">
      <c r="A1162" s="47"/>
      <c r="B1162" s="55"/>
      <c r="C1162" s="55"/>
      <c r="D1162" s="180" t="s">
        <v>2376</v>
      </c>
      <c r="E1162" s="181"/>
      <c r="F1162" s="180"/>
      <c r="G1162" s="92">
        <v>0</v>
      </c>
      <c r="H1162" s="73"/>
      <c r="I1162" s="19"/>
    </row>
    <row r="1163" spans="1:9" ht="12.2" customHeight="1">
      <c r="A1163" s="47"/>
      <c r="B1163" s="55"/>
      <c r="C1163" s="55"/>
      <c r="D1163" s="180" t="s">
        <v>2394</v>
      </c>
      <c r="E1163" s="181"/>
      <c r="F1163" s="180"/>
      <c r="G1163" s="92">
        <v>0</v>
      </c>
      <c r="H1163" s="73"/>
      <c r="I1163" s="19"/>
    </row>
    <row r="1164" spans="1:9">
      <c r="A1164" s="48" t="s">
        <v>626</v>
      </c>
      <c r="B1164" s="56" t="s">
        <v>71</v>
      </c>
      <c r="C1164" s="56" t="s">
        <v>1070</v>
      </c>
      <c r="D1164" s="170" t="s">
        <v>1572</v>
      </c>
      <c r="E1164" s="171"/>
      <c r="F1164" s="56" t="s">
        <v>1637</v>
      </c>
      <c r="G1164" s="65">
        <v>5.18</v>
      </c>
      <c r="H1164" s="97">
        <v>0</v>
      </c>
      <c r="I1164" s="19"/>
    </row>
    <row r="1165" spans="1:9" ht="12.2" customHeight="1">
      <c r="A1165" s="19"/>
      <c r="D1165" s="182" t="s">
        <v>2395</v>
      </c>
      <c r="E1165" s="183"/>
      <c r="F1165" s="183"/>
      <c r="G1165" s="93">
        <v>0</v>
      </c>
      <c r="H1165" s="16"/>
      <c r="I1165" s="19"/>
    </row>
    <row r="1166" spans="1:9" ht="12.2" customHeight="1">
      <c r="A1166" s="48"/>
      <c r="B1166" s="56"/>
      <c r="C1166" s="56"/>
      <c r="D1166" s="182" t="s">
        <v>2396</v>
      </c>
      <c r="E1166" s="183"/>
      <c r="F1166" s="182"/>
      <c r="G1166" s="93">
        <v>0</v>
      </c>
      <c r="H1166" s="74"/>
      <c r="I1166" s="19"/>
    </row>
    <row r="1167" spans="1:9" ht="12.2" customHeight="1">
      <c r="A1167" s="48"/>
      <c r="B1167" s="56"/>
      <c r="C1167" s="56"/>
      <c r="D1167" s="182" t="s">
        <v>2397</v>
      </c>
      <c r="E1167" s="183"/>
      <c r="F1167" s="182"/>
      <c r="G1167" s="93">
        <v>0</v>
      </c>
      <c r="H1167" s="74"/>
      <c r="I1167" s="19"/>
    </row>
    <row r="1168" spans="1:9" ht="12.2" customHeight="1">
      <c r="A1168" s="48"/>
      <c r="B1168" s="56"/>
      <c r="C1168" s="56"/>
      <c r="D1168" s="182" t="s">
        <v>2398</v>
      </c>
      <c r="E1168" s="183"/>
      <c r="F1168" s="182"/>
      <c r="G1168" s="93">
        <v>0</v>
      </c>
      <c r="H1168" s="74"/>
      <c r="I1168" s="19"/>
    </row>
    <row r="1169" spans="1:9" ht="12.2" customHeight="1">
      <c r="A1169" s="48"/>
      <c r="B1169" s="56"/>
      <c r="C1169" s="56"/>
      <c r="D1169" s="182" t="s">
        <v>2399</v>
      </c>
      <c r="E1169" s="183"/>
      <c r="F1169" s="182"/>
      <c r="G1169" s="93">
        <v>0</v>
      </c>
      <c r="H1169" s="74"/>
      <c r="I1169" s="19"/>
    </row>
    <row r="1170" spans="1:9">
      <c r="A1170" s="47" t="s">
        <v>627</v>
      </c>
      <c r="B1170" s="55" t="s">
        <v>71</v>
      </c>
      <c r="C1170" s="55" t="s">
        <v>1071</v>
      </c>
      <c r="D1170" s="165" t="s">
        <v>1573</v>
      </c>
      <c r="E1170" s="166"/>
      <c r="F1170" s="55" t="s">
        <v>1632</v>
      </c>
      <c r="G1170" s="64">
        <v>109.5</v>
      </c>
      <c r="H1170" s="96">
        <v>0</v>
      </c>
      <c r="I1170" s="19"/>
    </row>
    <row r="1171" spans="1:9" ht="12.2" customHeight="1">
      <c r="A1171" s="19"/>
      <c r="D1171" s="180" t="s">
        <v>2374</v>
      </c>
      <c r="E1171" s="181"/>
      <c r="F1171" s="181"/>
      <c r="G1171" s="92">
        <v>0</v>
      </c>
      <c r="H1171" s="16"/>
      <c r="I1171" s="19"/>
    </row>
    <row r="1172" spans="1:9" ht="12.2" customHeight="1">
      <c r="A1172" s="47"/>
      <c r="B1172" s="55"/>
      <c r="C1172" s="55"/>
      <c r="D1172" s="180" t="s">
        <v>2375</v>
      </c>
      <c r="E1172" s="181"/>
      <c r="F1172" s="180"/>
      <c r="G1172" s="92">
        <v>0</v>
      </c>
      <c r="H1172" s="73"/>
      <c r="I1172" s="19"/>
    </row>
    <row r="1173" spans="1:9" ht="12.2" customHeight="1">
      <c r="A1173" s="47"/>
      <c r="B1173" s="55"/>
      <c r="C1173" s="55"/>
      <c r="D1173" s="180" t="s">
        <v>2376</v>
      </c>
      <c r="E1173" s="181"/>
      <c r="F1173" s="180"/>
      <c r="G1173" s="92">
        <v>0</v>
      </c>
      <c r="H1173" s="73"/>
      <c r="I1173" s="19"/>
    </row>
    <row r="1174" spans="1:9">
      <c r="A1174" s="87"/>
      <c r="B1174" s="54"/>
      <c r="C1174" s="54" t="s">
        <v>172</v>
      </c>
      <c r="D1174" s="163" t="s">
        <v>222</v>
      </c>
      <c r="E1174" s="164"/>
      <c r="F1174" s="54"/>
      <c r="G1174" s="77"/>
      <c r="H1174" s="72"/>
      <c r="I1174" s="19"/>
    </row>
    <row r="1175" spans="1:9">
      <c r="A1175" s="47" t="s">
        <v>628</v>
      </c>
      <c r="B1175" s="55" t="s">
        <v>71</v>
      </c>
      <c r="C1175" s="55" t="s">
        <v>1072</v>
      </c>
      <c r="D1175" s="165" t="s">
        <v>1574</v>
      </c>
      <c r="E1175" s="166"/>
      <c r="F1175" s="55" t="s">
        <v>1633</v>
      </c>
      <c r="G1175" s="64">
        <v>291</v>
      </c>
      <c r="H1175" s="96">
        <v>0</v>
      </c>
      <c r="I1175" s="19"/>
    </row>
    <row r="1176" spans="1:9">
      <c r="A1176" s="48" t="s">
        <v>629</v>
      </c>
      <c r="B1176" s="56" t="s">
        <v>71</v>
      </c>
      <c r="C1176" s="56" t="s">
        <v>1073</v>
      </c>
      <c r="D1176" s="170" t="s">
        <v>1575</v>
      </c>
      <c r="E1176" s="171"/>
      <c r="F1176" s="56" t="s">
        <v>1633</v>
      </c>
      <c r="G1176" s="65">
        <v>291</v>
      </c>
      <c r="H1176" s="97">
        <v>0</v>
      </c>
      <c r="I1176" s="19"/>
    </row>
    <row r="1177" spans="1:9" ht="12.2" customHeight="1">
      <c r="A1177" s="47" t="s">
        <v>630</v>
      </c>
      <c r="B1177" s="55" t="s">
        <v>71</v>
      </c>
      <c r="C1177" s="55" t="s">
        <v>1074</v>
      </c>
      <c r="D1177" s="180" t="s">
        <v>2400</v>
      </c>
      <c r="E1177" s="181"/>
      <c r="F1177" s="180"/>
      <c r="G1177" s="92">
        <v>0</v>
      </c>
      <c r="H1177" s="96">
        <v>0</v>
      </c>
      <c r="I1177" s="19"/>
    </row>
    <row r="1178" spans="1:9">
      <c r="A1178" s="48" t="s">
        <v>631</v>
      </c>
      <c r="B1178" s="56" t="s">
        <v>71</v>
      </c>
      <c r="C1178" s="56" t="s">
        <v>1075</v>
      </c>
      <c r="D1178" s="170" t="s">
        <v>1577</v>
      </c>
      <c r="E1178" s="171"/>
      <c r="F1178" s="56" t="s">
        <v>1632</v>
      </c>
      <c r="G1178" s="65">
        <v>640.20000000000005</v>
      </c>
      <c r="H1178" s="97">
        <v>0</v>
      </c>
      <c r="I1178" s="19"/>
    </row>
    <row r="1179" spans="1:9" ht="12.2" customHeight="1">
      <c r="A1179" s="19"/>
      <c r="D1179" s="182" t="s">
        <v>2400</v>
      </c>
      <c r="E1179" s="183"/>
      <c r="F1179" s="183"/>
      <c r="G1179" s="93">
        <v>0</v>
      </c>
      <c r="H1179" s="16"/>
      <c r="I1179" s="19"/>
    </row>
    <row r="1180" spans="1:9" ht="12.2" customHeight="1">
      <c r="A1180" s="48"/>
      <c r="B1180" s="56"/>
      <c r="C1180" s="56"/>
      <c r="D1180" s="182" t="s">
        <v>2401</v>
      </c>
      <c r="E1180" s="183"/>
      <c r="F1180" s="182"/>
      <c r="G1180" s="93">
        <v>0</v>
      </c>
      <c r="H1180" s="74"/>
      <c r="I1180" s="19"/>
    </row>
    <row r="1181" spans="1:9">
      <c r="A1181" s="87"/>
      <c r="B1181" s="54"/>
      <c r="C1181" s="54" t="s">
        <v>173</v>
      </c>
      <c r="D1181" s="163" t="s">
        <v>223</v>
      </c>
      <c r="E1181" s="164"/>
      <c r="F1181" s="54"/>
      <c r="G1181" s="77"/>
      <c r="H1181" s="72"/>
      <c r="I1181" s="19"/>
    </row>
    <row r="1182" spans="1:9" ht="12.2" customHeight="1">
      <c r="A1182" s="47" t="s">
        <v>632</v>
      </c>
      <c r="B1182" s="55" t="s">
        <v>71</v>
      </c>
      <c r="C1182" s="55" t="s">
        <v>1076</v>
      </c>
      <c r="D1182" s="180" t="s">
        <v>2386</v>
      </c>
      <c r="E1182" s="181"/>
      <c r="F1182" s="180"/>
      <c r="G1182" s="92">
        <v>0</v>
      </c>
      <c r="H1182" s="96">
        <v>0</v>
      </c>
      <c r="I1182" s="19"/>
    </row>
    <row r="1183" spans="1:9">
      <c r="A1183" s="47" t="s">
        <v>633</v>
      </c>
      <c r="B1183" s="55" t="s">
        <v>71</v>
      </c>
      <c r="C1183" s="55" t="s">
        <v>1077</v>
      </c>
      <c r="D1183" s="165" t="s">
        <v>1580</v>
      </c>
      <c r="E1183" s="166"/>
      <c r="F1183" s="55" t="s">
        <v>1632</v>
      </c>
      <c r="G1183" s="64">
        <v>920.64</v>
      </c>
      <c r="H1183" s="96">
        <v>0</v>
      </c>
      <c r="I1183" s="19"/>
    </row>
    <row r="1184" spans="1:9" ht="12.2" customHeight="1">
      <c r="A1184" s="19"/>
      <c r="D1184" s="180" t="s">
        <v>2402</v>
      </c>
      <c r="E1184" s="181"/>
      <c r="F1184" s="181"/>
      <c r="G1184" s="92">
        <v>0</v>
      </c>
      <c r="H1184" s="16"/>
      <c r="I1184" s="19"/>
    </row>
    <row r="1185" spans="1:9" ht="12.2" customHeight="1">
      <c r="A1185" s="47"/>
      <c r="B1185" s="55"/>
      <c r="C1185" s="55"/>
      <c r="D1185" s="180" t="s">
        <v>2403</v>
      </c>
      <c r="E1185" s="181"/>
      <c r="F1185" s="180"/>
      <c r="G1185" s="92">
        <v>0</v>
      </c>
      <c r="H1185" s="73"/>
      <c r="I1185" s="19"/>
    </row>
    <row r="1186" spans="1:9" ht="12.2" customHeight="1">
      <c r="A1186" s="47"/>
      <c r="B1186" s="55"/>
      <c r="C1186" s="55"/>
      <c r="D1186" s="180" t="s">
        <v>2404</v>
      </c>
      <c r="E1186" s="181"/>
      <c r="F1186" s="180"/>
      <c r="G1186" s="92">
        <v>0</v>
      </c>
      <c r="H1186" s="73"/>
      <c r="I1186" s="19"/>
    </row>
    <row r="1187" spans="1:9" ht="12.2" customHeight="1">
      <c r="A1187" s="47"/>
      <c r="B1187" s="55"/>
      <c r="C1187" s="55"/>
      <c r="D1187" s="180" t="s">
        <v>2405</v>
      </c>
      <c r="E1187" s="181"/>
      <c r="F1187" s="180"/>
      <c r="G1187" s="92">
        <v>0</v>
      </c>
      <c r="H1187" s="73"/>
      <c r="I1187" s="19"/>
    </row>
    <row r="1188" spans="1:9" ht="12.2" customHeight="1">
      <c r="A1188" s="47" t="s">
        <v>634</v>
      </c>
      <c r="B1188" s="55" t="s">
        <v>71</v>
      </c>
      <c r="C1188" s="55" t="s">
        <v>1078</v>
      </c>
      <c r="D1188" s="180" t="s">
        <v>2384</v>
      </c>
      <c r="E1188" s="181"/>
      <c r="F1188" s="180"/>
      <c r="G1188" s="92">
        <v>0</v>
      </c>
      <c r="H1188" s="96">
        <v>0</v>
      </c>
      <c r="I1188" s="19"/>
    </row>
    <row r="1189" spans="1:9">
      <c r="A1189" s="87"/>
      <c r="B1189" s="54"/>
      <c r="C1189" s="54" t="s">
        <v>174</v>
      </c>
      <c r="D1189" s="163" t="s">
        <v>224</v>
      </c>
      <c r="E1189" s="164"/>
      <c r="F1189" s="54"/>
      <c r="G1189" s="77"/>
      <c r="H1189" s="72"/>
      <c r="I1189" s="19"/>
    </row>
    <row r="1190" spans="1:9" ht="12.2" customHeight="1">
      <c r="A1190" s="47" t="s">
        <v>635</v>
      </c>
      <c r="B1190" s="55" t="s">
        <v>71</v>
      </c>
      <c r="C1190" s="55" t="s">
        <v>1079</v>
      </c>
      <c r="D1190" s="180" t="s">
        <v>2377</v>
      </c>
      <c r="E1190" s="181"/>
      <c r="F1190" s="180"/>
      <c r="G1190" s="92">
        <v>0</v>
      </c>
      <c r="H1190" s="96">
        <v>0</v>
      </c>
      <c r="I1190" s="19"/>
    </row>
    <row r="1191" spans="1:9" ht="12.2" customHeight="1">
      <c r="A1191" s="47" t="s">
        <v>636</v>
      </c>
      <c r="B1191" s="55" t="s">
        <v>71</v>
      </c>
      <c r="C1191" s="55" t="s">
        <v>1080</v>
      </c>
      <c r="D1191" s="180" t="s">
        <v>2160</v>
      </c>
      <c r="E1191" s="181"/>
      <c r="F1191" s="180"/>
      <c r="G1191" s="92">
        <v>0</v>
      </c>
      <c r="H1191" s="96">
        <v>0</v>
      </c>
      <c r="I1191" s="19"/>
    </row>
    <row r="1192" spans="1:9" ht="12.2" customHeight="1">
      <c r="A1192" s="47"/>
      <c r="B1192" s="55"/>
      <c r="C1192" s="55"/>
      <c r="D1192" s="180" t="s">
        <v>2406</v>
      </c>
      <c r="E1192" s="181"/>
      <c r="F1192" s="180"/>
      <c r="G1192" s="92">
        <v>0</v>
      </c>
      <c r="H1192" s="73"/>
      <c r="I1192" s="19"/>
    </row>
    <row r="1193" spans="1:9" ht="12.2" customHeight="1">
      <c r="A1193" s="47" t="s">
        <v>637</v>
      </c>
      <c r="B1193" s="55" t="s">
        <v>71</v>
      </c>
      <c r="C1193" s="55" t="s">
        <v>1081</v>
      </c>
      <c r="D1193" s="180" t="s">
        <v>2377</v>
      </c>
      <c r="E1193" s="181"/>
      <c r="F1193" s="180"/>
      <c r="G1193" s="92">
        <v>0</v>
      </c>
      <c r="H1193" s="96">
        <v>0</v>
      </c>
      <c r="I1193" s="19"/>
    </row>
    <row r="1194" spans="1:9">
      <c r="A1194" s="87"/>
      <c r="B1194" s="54"/>
      <c r="C1194" s="54" t="s">
        <v>175</v>
      </c>
      <c r="D1194" s="163" t="s">
        <v>225</v>
      </c>
      <c r="E1194" s="164"/>
      <c r="F1194" s="54"/>
      <c r="G1194" s="77"/>
      <c r="H1194" s="72"/>
      <c r="I1194" s="19"/>
    </row>
    <row r="1195" spans="1:9" ht="12.2" customHeight="1">
      <c r="A1195" s="47" t="s">
        <v>638</v>
      </c>
      <c r="B1195" s="55" t="s">
        <v>71</v>
      </c>
      <c r="C1195" s="55" t="s">
        <v>1082</v>
      </c>
      <c r="D1195" s="180" t="s">
        <v>2377</v>
      </c>
      <c r="E1195" s="181"/>
      <c r="F1195" s="180"/>
      <c r="G1195" s="92">
        <v>0</v>
      </c>
      <c r="H1195" s="96">
        <v>0</v>
      </c>
      <c r="I1195" s="19"/>
    </row>
    <row r="1196" spans="1:9">
      <c r="A1196" s="87"/>
      <c r="B1196" s="54"/>
      <c r="C1196" s="54" t="s">
        <v>176</v>
      </c>
      <c r="D1196" s="163" t="s">
        <v>226</v>
      </c>
      <c r="E1196" s="164"/>
      <c r="F1196" s="54"/>
      <c r="G1196" s="77"/>
      <c r="H1196" s="72"/>
      <c r="I1196" s="19"/>
    </row>
    <row r="1197" spans="1:9">
      <c r="A1197" s="47" t="s">
        <v>639</v>
      </c>
      <c r="B1197" s="55" t="s">
        <v>71</v>
      </c>
      <c r="C1197" s="55" t="s">
        <v>1083</v>
      </c>
      <c r="D1197" s="165" t="s">
        <v>1586</v>
      </c>
      <c r="E1197" s="166"/>
      <c r="F1197" s="55" t="s">
        <v>1632</v>
      </c>
      <c r="G1197" s="64">
        <v>13.151999999999999</v>
      </c>
      <c r="H1197" s="96">
        <v>0</v>
      </c>
      <c r="I1197" s="19"/>
    </row>
    <row r="1198" spans="1:9" ht="12.2" customHeight="1">
      <c r="A1198" s="19"/>
      <c r="D1198" s="180" t="s">
        <v>2407</v>
      </c>
      <c r="E1198" s="181"/>
      <c r="F1198" s="181"/>
      <c r="G1198" s="92">
        <v>0</v>
      </c>
      <c r="H1198" s="16"/>
      <c r="I1198" s="19"/>
    </row>
    <row r="1199" spans="1:9" ht="12.2" customHeight="1">
      <c r="A1199" s="47"/>
      <c r="B1199" s="55"/>
      <c r="C1199" s="55"/>
      <c r="D1199" s="180" t="s">
        <v>2408</v>
      </c>
      <c r="E1199" s="181"/>
      <c r="F1199" s="180"/>
      <c r="G1199" s="92">
        <v>0</v>
      </c>
      <c r="H1199" s="73"/>
      <c r="I1199" s="19"/>
    </row>
    <row r="1200" spans="1:9" ht="12.2" customHeight="1">
      <c r="A1200" s="47"/>
      <c r="B1200" s="55"/>
      <c r="C1200" s="55"/>
      <c r="D1200" s="180" t="s">
        <v>2409</v>
      </c>
      <c r="E1200" s="181"/>
      <c r="F1200" s="180"/>
      <c r="G1200" s="92">
        <v>0</v>
      </c>
      <c r="H1200" s="73"/>
      <c r="I1200" s="19"/>
    </row>
    <row r="1201" spans="1:9" ht="12.2" customHeight="1">
      <c r="A1201" s="47"/>
      <c r="B1201" s="55"/>
      <c r="C1201" s="55"/>
      <c r="D1201" s="180" t="s">
        <v>2410</v>
      </c>
      <c r="E1201" s="181"/>
      <c r="F1201" s="180"/>
      <c r="G1201" s="92">
        <v>0</v>
      </c>
      <c r="H1201" s="73"/>
      <c r="I1201" s="19"/>
    </row>
    <row r="1202" spans="1:9" ht="12.2" customHeight="1">
      <c r="A1202" s="47"/>
      <c r="B1202" s="55"/>
      <c r="C1202" s="55"/>
      <c r="D1202" s="180" t="s">
        <v>2411</v>
      </c>
      <c r="E1202" s="181"/>
      <c r="F1202" s="180"/>
      <c r="G1202" s="92">
        <v>0</v>
      </c>
      <c r="H1202" s="73"/>
      <c r="I1202" s="19"/>
    </row>
    <row r="1203" spans="1:9">
      <c r="A1203" s="87"/>
      <c r="B1203" s="54"/>
      <c r="C1203" s="54" t="s">
        <v>177</v>
      </c>
      <c r="D1203" s="163" t="s">
        <v>227</v>
      </c>
      <c r="E1203" s="164"/>
      <c r="F1203" s="54"/>
      <c r="G1203" s="77"/>
      <c r="H1203" s="72"/>
      <c r="I1203" s="19"/>
    </row>
    <row r="1204" spans="1:9" ht="12.2" customHeight="1">
      <c r="A1204" s="47" t="s">
        <v>640</v>
      </c>
      <c r="B1204" s="55" t="s">
        <v>71</v>
      </c>
      <c r="C1204" s="55" t="s">
        <v>1084</v>
      </c>
      <c r="D1204" s="180" t="s">
        <v>2406</v>
      </c>
      <c r="E1204" s="181"/>
      <c r="F1204" s="180"/>
      <c r="G1204" s="92">
        <v>0</v>
      </c>
      <c r="H1204" s="96">
        <v>0</v>
      </c>
      <c r="I1204" s="19"/>
    </row>
    <row r="1205" spans="1:9">
      <c r="A1205" s="48" t="s">
        <v>641</v>
      </c>
      <c r="B1205" s="56" t="s">
        <v>71</v>
      </c>
      <c r="C1205" s="56" t="s">
        <v>1085</v>
      </c>
      <c r="D1205" s="170" t="s">
        <v>1588</v>
      </c>
      <c r="E1205" s="171"/>
      <c r="F1205" s="56" t="s">
        <v>1632</v>
      </c>
      <c r="G1205" s="65">
        <v>85.67895</v>
      </c>
      <c r="H1205" s="97">
        <v>0</v>
      </c>
      <c r="I1205" s="19"/>
    </row>
    <row r="1206" spans="1:9" ht="12.2" customHeight="1">
      <c r="A1206" s="19"/>
      <c r="D1206" s="182" t="s">
        <v>2406</v>
      </c>
      <c r="E1206" s="183"/>
      <c r="F1206" s="183"/>
      <c r="G1206" s="93">
        <v>0</v>
      </c>
      <c r="H1206" s="16"/>
      <c r="I1206" s="19"/>
    </row>
    <row r="1207" spans="1:9" ht="12.2" customHeight="1">
      <c r="A1207" s="48"/>
      <c r="B1207" s="56"/>
      <c r="C1207" s="56"/>
      <c r="D1207" s="182" t="s">
        <v>2412</v>
      </c>
      <c r="E1207" s="183"/>
      <c r="F1207" s="182"/>
      <c r="G1207" s="93">
        <v>0</v>
      </c>
      <c r="H1207" s="74"/>
      <c r="I1207" s="19"/>
    </row>
    <row r="1208" spans="1:9" ht="12.2" customHeight="1">
      <c r="A1208" s="47" t="s">
        <v>642</v>
      </c>
      <c r="B1208" s="55" t="s">
        <v>71</v>
      </c>
      <c r="C1208" s="55" t="s">
        <v>1086</v>
      </c>
      <c r="D1208" s="180" t="s">
        <v>2413</v>
      </c>
      <c r="E1208" s="181"/>
      <c r="F1208" s="180"/>
      <c r="G1208" s="92">
        <v>0</v>
      </c>
      <c r="H1208" s="96">
        <v>0</v>
      </c>
      <c r="I1208" s="19"/>
    </row>
    <row r="1209" spans="1:9" ht="12.2" customHeight="1">
      <c r="A1209" s="47" t="s">
        <v>643</v>
      </c>
      <c r="B1209" s="55" t="s">
        <v>71</v>
      </c>
      <c r="C1209" s="55" t="s">
        <v>1087</v>
      </c>
      <c r="D1209" s="180" t="s">
        <v>2414</v>
      </c>
      <c r="E1209" s="181"/>
      <c r="F1209" s="180"/>
      <c r="G1209" s="92">
        <v>0</v>
      </c>
      <c r="H1209" s="96">
        <v>0</v>
      </c>
      <c r="I1209" s="19"/>
    </row>
    <row r="1210" spans="1:9">
      <c r="A1210" s="47" t="s">
        <v>644</v>
      </c>
      <c r="B1210" s="55" t="s">
        <v>71</v>
      </c>
      <c r="C1210" s="55" t="s">
        <v>1087</v>
      </c>
      <c r="D1210" s="165" t="s">
        <v>1590</v>
      </c>
      <c r="E1210" s="166"/>
      <c r="F1210" s="55" t="s">
        <v>1632</v>
      </c>
      <c r="G1210" s="64">
        <v>131.52000000000001</v>
      </c>
      <c r="H1210" s="96">
        <v>0</v>
      </c>
      <c r="I1210" s="19"/>
    </row>
    <row r="1211" spans="1:9" ht="12.2" customHeight="1">
      <c r="A1211" s="19"/>
      <c r="D1211" s="180" t="s">
        <v>2374</v>
      </c>
      <c r="E1211" s="181"/>
      <c r="F1211" s="181"/>
      <c r="G1211" s="92">
        <v>0</v>
      </c>
      <c r="H1211" s="16"/>
      <c r="I1211" s="19"/>
    </row>
    <row r="1212" spans="1:9" ht="12.2" customHeight="1">
      <c r="A1212" s="47"/>
      <c r="B1212" s="55"/>
      <c r="C1212" s="55"/>
      <c r="D1212" s="180" t="s">
        <v>2415</v>
      </c>
      <c r="E1212" s="181"/>
      <c r="F1212" s="180"/>
      <c r="G1212" s="92">
        <v>0</v>
      </c>
      <c r="H1212" s="73"/>
      <c r="I1212" s="19"/>
    </row>
    <row r="1213" spans="1:9" ht="12.2" customHeight="1">
      <c r="A1213" s="47"/>
      <c r="B1213" s="55"/>
      <c r="C1213" s="55"/>
      <c r="D1213" s="180" t="s">
        <v>2416</v>
      </c>
      <c r="E1213" s="181"/>
      <c r="F1213" s="180"/>
      <c r="G1213" s="92">
        <v>0</v>
      </c>
      <c r="H1213" s="73"/>
      <c r="I1213" s="19"/>
    </row>
    <row r="1214" spans="1:9" ht="12.2" customHeight="1">
      <c r="A1214" s="47"/>
      <c r="B1214" s="55"/>
      <c r="C1214" s="55"/>
      <c r="D1214" s="180" t="s">
        <v>2376</v>
      </c>
      <c r="E1214" s="181"/>
      <c r="F1214" s="180"/>
      <c r="G1214" s="92">
        <v>0</v>
      </c>
      <c r="H1214" s="73"/>
      <c r="I1214" s="19"/>
    </row>
    <row r="1215" spans="1:9">
      <c r="A1215" s="48" t="s">
        <v>645</v>
      </c>
      <c r="B1215" s="56" t="s">
        <v>71</v>
      </c>
      <c r="C1215" s="56" t="s">
        <v>1088</v>
      </c>
      <c r="D1215" s="170" t="s">
        <v>1591</v>
      </c>
      <c r="E1215" s="171"/>
      <c r="F1215" s="56" t="s">
        <v>1632</v>
      </c>
      <c r="G1215" s="65">
        <v>138.096</v>
      </c>
      <c r="H1215" s="97">
        <v>0</v>
      </c>
      <c r="I1215" s="19"/>
    </row>
    <row r="1216" spans="1:9" ht="12.2" customHeight="1">
      <c r="A1216" s="19"/>
      <c r="D1216" s="182" t="s">
        <v>2374</v>
      </c>
      <c r="E1216" s="183"/>
      <c r="F1216" s="183"/>
      <c r="G1216" s="93">
        <v>0</v>
      </c>
      <c r="H1216" s="16"/>
      <c r="I1216" s="19"/>
    </row>
    <row r="1217" spans="1:9" ht="12.2" customHeight="1">
      <c r="A1217" s="48"/>
      <c r="B1217" s="56"/>
      <c r="C1217" s="56"/>
      <c r="D1217" s="182" t="s">
        <v>2415</v>
      </c>
      <c r="E1217" s="183"/>
      <c r="F1217" s="182"/>
      <c r="G1217" s="93">
        <v>0</v>
      </c>
      <c r="H1217" s="74"/>
      <c r="I1217" s="19"/>
    </row>
    <row r="1218" spans="1:9" ht="12.2" customHeight="1">
      <c r="A1218" s="48"/>
      <c r="B1218" s="56"/>
      <c r="C1218" s="56"/>
      <c r="D1218" s="182" t="s">
        <v>2416</v>
      </c>
      <c r="E1218" s="183"/>
      <c r="F1218" s="182"/>
      <c r="G1218" s="93">
        <v>0</v>
      </c>
      <c r="H1218" s="74"/>
      <c r="I1218" s="19"/>
    </row>
    <row r="1219" spans="1:9" ht="12.2" customHeight="1">
      <c r="A1219" s="48"/>
      <c r="B1219" s="56"/>
      <c r="C1219" s="56"/>
      <c r="D1219" s="182" t="s">
        <v>2376</v>
      </c>
      <c r="E1219" s="183"/>
      <c r="F1219" s="182"/>
      <c r="G1219" s="93">
        <v>0</v>
      </c>
      <c r="H1219" s="74"/>
      <c r="I1219" s="19"/>
    </row>
    <row r="1220" spans="1:9" ht="12.2" customHeight="1">
      <c r="A1220" s="48"/>
      <c r="B1220" s="56"/>
      <c r="C1220" s="56"/>
      <c r="D1220" s="182" t="s">
        <v>2417</v>
      </c>
      <c r="E1220" s="183"/>
      <c r="F1220" s="182"/>
      <c r="G1220" s="93">
        <v>0</v>
      </c>
      <c r="H1220" s="74"/>
      <c r="I1220" s="19"/>
    </row>
    <row r="1221" spans="1:9">
      <c r="A1221" s="87"/>
      <c r="B1221" s="54"/>
      <c r="C1221" s="54" t="s">
        <v>178</v>
      </c>
      <c r="D1221" s="163" t="s">
        <v>228</v>
      </c>
      <c r="E1221" s="164"/>
      <c r="F1221" s="54"/>
      <c r="G1221" s="77"/>
      <c r="H1221" s="72"/>
      <c r="I1221" s="19"/>
    </row>
    <row r="1222" spans="1:9">
      <c r="A1222" s="47" t="s">
        <v>646</v>
      </c>
      <c r="B1222" s="55" t="s">
        <v>71</v>
      </c>
      <c r="C1222" s="55" t="s">
        <v>1089</v>
      </c>
      <c r="D1222" s="165" t="s">
        <v>1592</v>
      </c>
      <c r="E1222" s="166"/>
      <c r="F1222" s="55" t="s">
        <v>1631</v>
      </c>
      <c r="G1222" s="64">
        <v>17</v>
      </c>
      <c r="H1222" s="96">
        <v>0</v>
      </c>
      <c r="I1222" s="19"/>
    </row>
    <row r="1223" spans="1:9" ht="12.2" customHeight="1">
      <c r="A1223" s="19"/>
      <c r="D1223" s="180" t="s">
        <v>2029</v>
      </c>
      <c r="E1223" s="181"/>
      <c r="F1223" s="181"/>
      <c r="G1223" s="92">
        <v>0</v>
      </c>
      <c r="H1223" s="16"/>
      <c r="I1223" s="19"/>
    </row>
    <row r="1224" spans="1:9" ht="12.2" customHeight="1">
      <c r="A1224" s="47"/>
      <c r="B1224" s="55"/>
      <c r="C1224" s="55"/>
      <c r="D1224" s="180" t="s">
        <v>2418</v>
      </c>
      <c r="E1224" s="181"/>
      <c r="F1224" s="180"/>
      <c r="G1224" s="92">
        <v>0</v>
      </c>
      <c r="H1224" s="73"/>
      <c r="I1224" s="19"/>
    </row>
    <row r="1225" spans="1:9" ht="12.2" customHeight="1">
      <c r="A1225" s="47"/>
      <c r="B1225" s="55"/>
      <c r="C1225" s="55"/>
      <c r="D1225" s="180" t="s">
        <v>2419</v>
      </c>
      <c r="E1225" s="181"/>
      <c r="F1225" s="180"/>
      <c r="G1225" s="92">
        <v>0</v>
      </c>
      <c r="H1225" s="73"/>
      <c r="I1225" s="19"/>
    </row>
    <row r="1226" spans="1:9">
      <c r="A1226" s="47" t="s">
        <v>647</v>
      </c>
      <c r="B1226" s="55" t="s">
        <v>71</v>
      </c>
      <c r="C1226" s="55" t="s">
        <v>1090</v>
      </c>
      <c r="D1226" s="165" t="s">
        <v>1593</v>
      </c>
      <c r="E1226" s="166"/>
      <c r="F1226" s="55" t="s">
        <v>1631</v>
      </c>
      <c r="G1226" s="64">
        <v>17</v>
      </c>
      <c r="H1226" s="96">
        <v>0</v>
      </c>
      <c r="I1226" s="19"/>
    </row>
    <row r="1227" spans="1:9" ht="12.2" customHeight="1">
      <c r="A1227" s="19"/>
      <c r="D1227" s="180" t="s">
        <v>2029</v>
      </c>
      <c r="E1227" s="181"/>
      <c r="F1227" s="181"/>
      <c r="G1227" s="92">
        <v>0</v>
      </c>
      <c r="H1227" s="16"/>
      <c r="I1227" s="19"/>
    </row>
    <row r="1228" spans="1:9" ht="12.2" customHeight="1">
      <c r="A1228" s="47"/>
      <c r="B1228" s="55"/>
      <c r="C1228" s="55"/>
      <c r="D1228" s="180" t="s">
        <v>2418</v>
      </c>
      <c r="E1228" s="181"/>
      <c r="F1228" s="180"/>
      <c r="G1228" s="92">
        <v>0</v>
      </c>
      <c r="H1228" s="73"/>
      <c r="I1228" s="19"/>
    </row>
    <row r="1229" spans="1:9" ht="12.2" customHeight="1">
      <c r="A1229" s="47"/>
      <c r="B1229" s="55"/>
      <c r="C1229" s="55"/>
      <c r="D1229" s="180" t="s">
        <v>2419</v>
      </c>
      <c r="E1229" s="181"/>
      <c r="F1229" s="180"/>
      <c r="G1229" s="92">
        <v>0</v>
      </c>
      <c r="H1229" s="73"/>
      <c r="I1229" s="19"/>
    </row>
    <row r="1230" spans="1:9">
      <c r="A1230" s="47" t="s">
        <v>648</v>
      </c>
      <c r="B1230" s="55" t="s">
        <v>71</v>
      </c>
      <c r="C1230" s="55" t="s">
        <v>1091</v>
      </c>
      <c r="D1230" s="165" t="s">
        <v>1594</v>
      </c>
      <c r="E1230" s="166"/>
      <c r="F1230" s="55" t="s">
        <v>1634</v>
      </c>
      <c r="G1230" s="64">
        <v>1.6619200000000001</v>
      </c>
      <c r="H1230" s="96">
        <v>0</v>
      </c>
      <c r="I1230" s="19"/>
    </row>
    <row r="1231" spans="1:9">
      <c r="A1231" s="87"/>
      <c r="B1231" s="54"/>
      <c r="C1231" s="54" t="s">
        <v>179</v>
      </c>
      <c r="D1231" s="163" t="s">
        <v>229</v>
      </c>
      <c r="E1231" s="164"/>
      <c r="F1231" s="54"/>
      <c r="G1231" s="77"/>
      <c r="H1231" s="72"/>
      <c r="I1231" s="19"/>
    </row>
    <row r="1232" spans="1:9">
      <c r="A1232" s="47" t="s">
        <v>649</v>
      </c>
      <c r="B1232" s="55" t="s">
        <v>71</v>
      </c>
      <c r="C1232" s="55" t="s">
        <v>1092</v>
      </c>
      <c r="D1232" s="165" t="s">
        <v>1595</v>
      </c>
      <c r="E1232" s="166"/>
      <c r="F1232" s="55" t="s">
        <v>1631</v>
      </c>
      <c r="G1232" s="64">
        <v>5</v>
      </c>
      <c r="H1232" s="96">
        <v>0</v>
      </c>
      <c r="I1232" s="19"/>
    </row>
    <row r="1233" spans="1:9" ht="12.2" customHeight="1">
      <c r="A1233" s="47" t="s">
        <v>650</v>
      </c>
      <c r="B1233" s="55" t="s">
        <v>71</v>
      </c>
      <c r="C1233" s="55" t="s">
        <v>1093</v>
      </c>
      <c r="D1233" s="180" t="s">
        <v>2420</v>
      </c>
      <c r="E1233" s="181"/>
      <c r="F1233" s="180"/>
      <c r="G1233" s="92">
        <v>0</v>
      </c>
      <c r="H1233" s="96">
        <v>0</v>
      </c>
      <c r="I1233" s="19"/>
    </row>
    <row r="1234" spans="1:9" ht="12.2" customHeight="1">
      <c r="A1234" s="48" t="s">
        <v>651</v>
      </c>
      <c r="B1234" s="56" t="s">
        <v>71</v>
      </c>
      <c r="C1234" s="56" t="s">
        <v>1094</v>
      </c>
      <c r="D1234" s="182" t="s">
        <v>2421</v>
      </c>
      <c r="E1234" s="183"/>
      <c r="F1234" s="182"/>
      <c r="G1234" s="93">
        <v>0</v>
      </c>
      <c r="H1234" s="97">
        <v>0</v>
      </c>
      <c r="I1234" s="19"/>
    </row>
    <row r="1235" spans="1:9">
      <c r="A1235" s="48" t="s">
        <v>652</v>
      </c>
      <c r="B1235" s="56" t="s">
        <v>71</v>
      </c>
      <c r="C1235" s="56" t="s">
        <v>1095</v>
      </c>
      <c r="D1235" s="170" t="s">
        <v>1598</v>
      </c>
      <c r="E1235" s="171"/>
      <c r="F1235" s="56" t="s">
        <v>1631</v>
      </c>
      <c r="G1235" s="65">
        <v>5</v>
      </c>
      <c r="H1235" s="97">
        <v>0</v>
      </c>
      <c r="I1235" s="19"/>
    </row>
    <row r="1236" spans="1:9">
      <c r="A1236" s="47" t="s">
        <v>653</v>
      </c>
      <c r="B1236" s="55" t="s">
        <v>71</v>
      </c>
      <c r="C1236" s="55" t="s">
        <v>1096</v>
      </c>
      <c r="D1236" s="165" t="s">
        <v>1599</v>
      </c>
      <c r="E1236" s="166"/>
      <c r="F1236" s="55" t="s">
        <v>1631</v>
      </c>
      <c r="G1236" s="64">
        <v>5</v>
      </c>
      <c r="H1236" s="96">
        <v>0</v>
      </c>
      <c r="I1236" s="19"/>
    </row>
    <row r="1237" spans="1:9">
      <c r="A1237" s="87"/>
      <c r="B1237" s="54"/>
      <c r="C1237" s="54" t="s">
        <v>180</v>
      </c>
      <c r="D1237" s="163" t="s">
        <v>230</v>
      </c>
      <c r="E1237" s="164"/>
      <c r="F1237" s="54"/>
      <c r="G1237" s="77"/>
      <c r="H1237" s="72"/>
      <c r="I1237" s="19"/>
    </row>
    <row r="1238" spans="1:9">
      <c r="A1238" s="47" t="s">
        <v>654</v>
      </c>
      <c r="B1238" s="55" t="s">
        <v>71</v>
      </c>
      <c r="C1238" s="55" t="s">
        <v>1097</v>
      </c>
      <c r="D1238" s="165" t="s">
        <v>1600</v>
      </c>
      <c r="E1238" s="166"/>
      <c r="F1238" s="55" t="s">
        <v>1631</v>
      </c>
      <c r="G1238" s="64">
        <v>21</v>
      </c>
      <c r="H1238" s="96">
        <v>0</v>
      </c>
      <c r="I1238" s="19"/>
    </row>
    <row r="1239" spans="1:9">
      <c r="A1239" s="48" t="s">
        <v>655</v>
      </c>
      <c r="B1239" s="56" t="s">
        <v>71</v>
      </c>
      <c r="C1239" s="56" t="s">
        <v>1098</v>
      </c>
      <c r="D1239" s="170" t="s">
        <v>1601</v>
      </c>
      <c r="E1239" s="171"/>
      <c r="F1239" s="56" t="s">
        <v>1631</v>
      </c>
      <c r="G1239" s="65">
        <v>5</v>
      </c>
      <c r="H1239" s="97">
        <v>0</v>
      </c>
      <c r="I1239" s="19"/>
    </row>
    <row r="1240" spans="1:9">
      <c r="A1240" s="48" t="s">
        <v>656</v>
      </c>
      <c r="B1240" s="56" t="s">
        <v>71</v>
      </c>
      <c r="C1240" s="56" t="s">
        <v>1098</v>
      </c>
      <c r="D1240" s="170" t="s">
        <v>1602</v>
      </c>
      <c r="E1240" s="171"/>
      <c r="F1240" s="56" t="s">
        <v>1631</v>
      </c>
      <c r="G1240" s="65">
        <v>16</v>
      </c>
      <c r="H1240" s="97">
        <v>0</v>
      </c>
      <c r="I1240" s="19"/>
    </row>
    <row r="1241" spans="1:9" ht="12.2" customHeight="1">
      <c r="A1241" s="48" t="s">
        <v>657</v>
      </c>
      <c r="B1241" s="56" t="s">
        <v>71</v>
      </c>
      <c r="C1241" s="56" t="s">
        <v>1099</v>
      </c>
      <c r="D1241" s="182" t="s">
        <v>2422</v>
      </c>
      <c r="E1241" s="183"/>
      <c r="F1241" s="182"/>
      <c r="G1241" s="93">
        <v>0</v>
      </c>
      <c r="H1241" s="97">
        <v>0</v>
      </c>
      <c r="I1241" s="19"/>
    </row>
    <row r="1242" spans="1:9">
      <c r="A1242" s="48" t="s">
        <v>658</v>
      </c>
      <c r="B1242" s="56" t="s">
        <v>71</v>
      </c>
      <c r="C1242" s="56" t="s">
        <v>1100</v>
      </c>
      <c r="D1242" s="170" t="s">
        <v>1604</v>
      </c>
      <c r="E1242" s="171"/>
      <c r="F1242" s="56" t="s">
        <v>1631</v>
      </c>
      <c r="G1242" s="65">
        <v>21</v>
      </c>
      <c r="H1242" s="97">
        <v>0</v>
      </c>
      <c r="I1242" s="19"/>
    </row>
    <row r="1243" spans="1:9">
      <c r="A1243" s="48" t="s">
        <v>659</v>
      </c>
      <c r="B1243" s="56" t="s">
        <v>71</v>
      </c>
      <c r="C1243" s="56" t="s">
        <v>1101</v>
      </c>
      <c r="D1243" s="170" t="s">
        <v>1605</v>
      </c>
      <c r="E1243" s="171"/>
      <c r="F1243" s="56" t="s">
        <v>1631</v>
      </c>
      <c r="G1243" s="65">
        <v>45</v>
      </c>
      <c r="H1243" s="97">
        <v>0</v>
      </c>
      <c r="I1243" s="19"/>
    </row>
    <row r="1244" spans="1:9">
      <c r="A1244" s="48" t="s">
        <v>660</v>
      </c>
      <c r="B1244" s="56" t="s">
        <v>71</v>
      </c>
      <c r="C1244" s="56" t="s">
        <v>1102</v>
      </c>
      <c r="D1244" s="170" t="s">
        <v>1606</v>
      </c>
      <c r="E1244" s="171"/>
      <c r="F1244" s="56" t="s">
        <v>1631</v>
      </c>
      <c r="G1244" s="65">
        <v>18</v>
      </c>
      <c r="H1244" s="97">
        <v>0</v>
      </c>
      <c r="I1244" s="19"/>
    </row>
    <row r="1245" spans="1:9">
      <c r="A1245" s="47" t="s">
        <v>661</v>
      </c>
      <c r="B1245" s="55" t="s">
        <v>71</v>
      </c>
      <c r="C1245" s="55" t="s">
        <v>1103</v>
      </c>
      <c r="D1245" s="165" t="s">
        <v>1607</v>
      </c>
      <c r="E1245" s="166"/>
      <c r="F1245" s="55" t="s">
        <v>1631</v>
      </c>
      <c r="G1245" s="64">
        <v>21</v>
      </c>
      <c r="H1245" s="96">
        <v>0</v>
      </c>
      <c r="I1245" s="19"/>
    </row>
    <row r="1246" spans="1:9">
      <c r="A1246" s="48" t="s">
        <v>662</v>
      </c>
      <c r="B1246" s="56" t="s">
        <v>71</v>
      </c>
      <c r="C1246" s="56" t="s">
        <v>1104</v>
      </c>
      <c r="D1246" s="170" t="s">
        <v>1608</v>
      </c>
      <c r="E1246" s="171"/>
      <c r="F1246" s="56" t="s">
        <v>1631</v>
      </c>
      <c r="G1246" s="65">
        <v>21</v>
      </c>
      <c r="H1246" s="97">
        <v>0</v>
      </c>
      <c r="I1246" s="19"/>
    </row>
    <row r="1247" spans="1:9">
      <c r="A1247" s="48" t="s">
        <v>663</v>
      </c>
      <c r="B1247" s="56" t="s">
        <v>71</v>
      </c>
      <c r="C1247" s="56" t="s">
        <v>1105</v>
      </c>
      <c r="D1247" s="170" t="s">
        <v>1609</v>
      </c>
      <c r="E1247" s="171"/>
      <c r="F1247" s="56" t="s">
        <v>1631</v>
      </c>
      <c r="G1247" s="65">
        <v>21</v>
      </c>
      <c r="H1247" s="97">
        <v>0</v>
      </c>
      <c r="I1247" s="19"/>
    </row>
    <row r="1248" spans="1:9">
      <c r="A1248" s="87"/>
      <c r="B1248" s="54"/>
      <c r="C1248" s="54" t="s">
        <v>181</v>
      </c>
      <c r="D1248" s="163" t="s">
        <v>231</v>
      </c>
      <c r="E1248" s="164"/>
      <c r="F1248" s="54"/>
      <c r="G1248" s="77"/>
      <c r="H1248" s="72"/>
      <c r="I1248" s="19"/>
    </row>
    <row r="1249" spans="1:9" ht="12.2" customHeight="1">
      <c r="A1249" s="47" t="s">
        <v>664</v>
      </c>
      <c r="B1249" s="55" t="s">
        <v>71</v>
      </c>
      <c r="C1249" s="55" t="s">
        <v>1106</v>
      </c>
      <c r="D1249" s="180" t="s">
        <v>2423</v>
      </c>
      <c r="E1249" s="181"/>
      <c r="F1249" s="180"/>
      <c r="G1249" s="92">
        <v>0</v>
      </c>
      <c r="H1249" s="96">
        <v>0</v>
      </c>
      <c r="I1249" s="19"/>
    </row>
    <row r="1250" spans="1:9" ht="12.2" customHeight="1">
      <c r="A1250" s="47" t="s">
        <v>665</v>
      </c>
      <c r="B1250" s="55" t="s">
        <v>71</v>
      </c>
      <c r="C1250" s="55" t="s">
        <v>1107</v>
      </c>
      <c r="D1250" s="180" t="s">
        <v>2424</v>
      </c>
      <c r="E1250" s="181"/>
      <c r="F1250" s="180"/>
      <c r="G1250" s="92">
        <v>0</v>
      </c>
      <c r="H1250" s="96">
        <v>0</v>
      </c>
      <c r="I1250" s="19"/>
    </row>
    <row r="1251" spans="1:9">
      <c r="A1251" s="87"/>
      <c r="B1251" s="54"/>
      <c r="C1251" s="54" t="s">
        <v>155</v>
      </c>
      <c r="D1251" s="163" t="s">
        <v>206</v>
      </c>
      <c r="E1251" s="164"/>
      <c r="F1251" s="54"/>
      <c r="G1251" s="77"/>
      <c r="H1251" s="72"/>
      <c r="I1251" s="19"/>
    </row>
    <row r="1252" spans="1:9">
      <c r="A1252" s="47" t="s">
        <v>666</v>
      </c>
      <c r="B1252" s="55" t="s">
        <v>62</v>
      </c>
      <c r="C1252" s="55" t="s">
        <v>896</v>
      </c>
      <c r="D1252" s="165" t="s">
        <v>1310</v>
      </c>
      <c r="E1252" s="166"/>
      <c r="F1252" s="55" t="s">
        <v>1640</v>
      </c>
      <c r="G1252" s="64">
        <v>1</v>
      </c>
      <c r="H1252" s="96">
        <v>0</v>
      </c>
      <c r="I1252" s="19"/>
    </row>
    <row r="1253" spans="1:9">
      <c r="A1253" s="47" t="s">
        <v>667</v>
      </c>
      <c r="B1253" s="55" t="s">
        <v>62</v>
      </c>
      <c r="C1253" s="55" t="s">
        <v>897</v>
      </c>
      <c r="D1253" s="165" t="s">
        <v>1311</v>
      </c>
      <c r="E1253" s="166"/>
      <c r="F1253" s="55" t="s">
        <v>1641</v>
      </c>
      <c r="G1253" s="64">
        <v>1</v>
      </c>
      <c r="H1253" s="96">
        <v>0</v>
      </c>
      <c r="I1253" s="19"/>
    </row>
    <row r="1254" spans="1:9">
      <c r="A1254" s="47" t="s">
        <v>668</v>
      </c>
      <c r="B1254" s="55" t="s">
        <v>62</v>
      </c>
      <c r="C1254" s="55" t="s">
        <v>898</v>
      </c>
      <c r="D1254" s="165" t="s">
        <v>1313</v>
      </c>
      <c r="E1254" s="166"/>
      <c r="F1254" s="55" t="s">
        <v>129</v>
      </c>
      <c r="G1254" s="64">
        <v>2.1000000000000001E-2</v>
      </c>
      <c r="H1254" s="96">
        <v>0</v>
      </c>
      <c r="I1254" s="19"/>
    </row>
    <row r="1255" spans="1:9">
      <c r="A1255" s="47" t="s">
        <v>669</v>
      </c>
      <c r="B1255" s="55" t="s">
        <v>64</v>
      </c>
      <c r="C1255" s="55" t="s">
        <v>937</v>
      </c>
      <c r="D1255" s="165" t="s">
        <v>1378</v>
      </c>
      <c r="E1255" s="166"/>
      <c r="F1255" s="55" t="s">
        <v>1643</v>
      </c>
      <c r="G1255" s="64">
        <v>1</v>
      </c>
      <c r="H1255" s="96">
        <v>0</v>
      </c>
      <c r="I1255" s="19"/>
    </row>
    <row r="1256" spans="1:9">
      <c r="A1256" s="48" t="s">
        <v>670</v>
      </c>
      <c r="B1256" s="56" t="s">
        <v>64</v>
      </c>
      <c r="C1256" s="56" t="s">
        <v>938</v>
      </c>
      <c r="D1256" s="170" t="s">
        <v>1380</v>
      </c>
      <c r="E1256" s="171"/>
      <c r="F1256" s="56" t="s">
        <v>1641</v>
      </c>
      <c r="G1256" s="65">
        <v>1</v>
      </c>
      <c r="H1256" s="97">
        <v>0</v>
      </c>
      <c r="I1256" s="19"/>
    </row>
    <row r="1257" spans="1:9">
      <c r="A1257" s="47" t="s">
        <v>671</v>
      </c>
      <c r="B1257" s="55" t="s">
        <v>64</v>
      </c>
      <c r="C1257" s="55" t="s">
        <v>939</v>
      </c>
      <c r="D1257" s="165" t="s">
        <v>1382</v>
      </c>
      <c r="E1257" s="166"/>
      <c r="F1257" s="55" t="s">
        <v>1644</v>
      </c>
      <c r="G1257" s="64">
        <v>170.8</v>
      </c>
      <c r="H1257" s="96">
        <v>0</v>
      </c>
      <c r="I1257" s="19"/>
    </row>
    <row r="1258" spans="1:9">
      <c r="A1258" s="87"/>
      <c r="B1258" s="54"/>
      <c r="C1258" s="54" t="s">
        <v>156</v>
      </c>
      <c r="D1258" s="163" t="s">
        <v>207</v>
      </c>
      <c r="E1258" s="164"/>
      <c r="F1258" s="54"/>
      <c r="G1258" s="77"/>
      <c r="H1258" s="72"/>
      <c r="I1258" s="19"/>
    </row>
    <row r="1259" spans="1:9">
      <c r="A1259" s="47" t="s">
        <v>672</v>
      </c>
      <c r="B1259" s="55" t="s">
        <v>62</v>
      </c>
      <c r="C1259" s="55" t="s">
        <v>899</v>
      </c>
      <c r="D1259" s="165" t="s">
        <v>1315</v>
      </c>
      <c r="E1259" s="166"/>
      <c r="F1259" s="55" t="s">
        <v>1642</v>
      </c>
      <c r="G1259" s="64">
        <v>4</v>
      </c>
      <c r="H1259" s="96">
        <v>0</v>
      </c>
      <c r="I1259" s="19"/>
    </row>
    <row r="1260" spans="1:9">
      <c r="A1260" s="47" t="s">
        <v>673</v>
      </c>
      <c r="B1260" s="55" t="s">
        <v>62</v>
      </c>
      <c r="C1260" s="55" t="s">
        <v>900</v>
      </c>
      <c r="D1260" s="165" t="s">
        <v>1316</v>
      </c>
      <c r="E1260" s="166"/>
      <c r="F1260" s="55" t="s">
        <v>129</v>
      </c>
      <c r="G1260" s="64">
        <v>1.9E-2</v>
      </c>
      <c r="H1260" s="96">
        <v>0</v>
      </c>
      <c r="I1260" s="19"/>
    </row>
    <row r="1261" spans="1:9" ht="12.2" customHeight="1">
      <c r="A1261" s="47" t="s">
        <v>674</v>
      </c>
      <c r="B1261" s="55" t="s">
        <v>63</v>
      </c>
      <c r="C1261" s="55" t="s">
        <v>909</v>
      </c>
      <c r="D1261" s="180" t="s">
        <v>2425</v>
      </c>
      <c r="E1261" s="181"/>
      <c r="F1261" s="180"/>
      <c r="G1261" s="92">
        <v>40</v>
      </c>
      <c r="H1261" s="96">
        <v>0</v>
      </c>
      <c r="I1261" s="19"/>
    </row>
    <row r="1262" spans="1:9">
      <c r="A1262" s="47" t="s">
        <v>675</v>
      </c>
      <c r="B1262" s="55" t="s">
        <v>63</v>
      </c>
      <c r="C1262" s="55" t="s">
        <v>910</v>
      </c>
      <c r="D1262" s="165" t="s">
        <v>1333</v>
      </c>
      <c r="E1262" s="166"/>
      <c r="F1262" s="55" t="s">
        <v>1641</v>
      </c>
      <c r="G1262" s="64">
        <v>42</v>
      </c>
      <c r="H1262" s="96">
        <v>0</v>
      </c>
      <c r="I1262" s="19"/>
    </row>
    <row r="1263" spans="1:9">
      <c r="A1263" s="47" t="s">
        <v>676</v>
      </c>
      <c r="B1263" s="55" t="s">
        <v>63</v>
      </c>
      <c r="C1263" s="55" t="s">
        <v>911</v>
      </c>
      <c r="D1263" s="165" t="s">
        <v>1334</v>
      </c>
      <c r="E1263" s="166"/>
      <c r="F1263" s="55" t="s">
        <v>1641</v>
      </c>
      <c r="G1263" s="64">
        <v>38</v>
      </c>
      <c r="H1263" s="96">
        <v>0</v>
      </c>
      <c r="I1263" s="19"/>
    </row>
    <row r="1264" spans="1:9">
      <c r="A1264" s="47" t="s">
        <v>677</v>
      </c>
      <c r="B1264" s="55" t="s">
        <v>63</v>
      </c>
      <c r="C1264" s="55" t="s">
        <v>912</v>
      </c>
      <c r="D1264" s="165" t="s">
        <v>1335</v>
      </c>
      <c r="E1264" s="166"/>
      <c r="F1264" s="55" t="s">
        <v>1644</v>
      </c>
      <c r="G1264" s="64">
        <v>168.756</v>
      </c>
      <c r="H1264" s="96">
        <v>0</v>
      </c>
      <c r="I1264" s="19"/>
    </row>
    <row r="1265" spans="1:9">
      <c r="A1265" s="47" t="s">
        <v>678</v>
      </c>
      <c r="B1265" s="55" t="s">
        <v>64</v>
      </c>
      <c r="C1265" s="55" t="s">
        <v>940</v>
      </c>
      <c r="D1265" s="165" t="s">
        <v>1384</v>
      </c>
      <c r="E1265" s="166"/>
      <c r="F1265" s="55" t="s">
        <v>1642</v>
      </c>
      <c r="G1265" s="64">
        <v>1</v>
      </c>
      <c r="H1265" s="96">
        <v>0</v>
      </c>
      <c r="I1265" s="19"/>
    </row>
    <row r="1266" spans="1:9">
      <c r="A1266" s="47" t="s">
        <v>679</v>
      </c>
      <c r="B1266" s="55" t="s">
        <v>64</v>
      </c>
      <c r="C1266" s="55" t="s">
        <v>941</v>
      </c>
      <c r="D1266" s="165" t="s">
        <v>1386</v>
      </c>
      <c r="E1266" s="166"/>
      <c r="F1266" s="55" t="s">
        <v>1642</v>
      </c>
      <c r="G1266" s="64">
        <v>4</v>
      </c>
      <c r="H1266" s="96">
        <v>0</v>
      </c>
      <c r="I1266" s="19"/>
    </row>
    <row r="1267" spans="1:9" ht="12.2" customHeight="1">
      <c r="A1267" s="47" t="s">
        <v>680</v>
      </c>
      <c r="B1267" s="55" t="s">
        <v>64</v>
      </c>
      <c r="C1267" s="55" t="s">
        <v>942</v>
      </c>
      <c r="D1267" s="180" t="s">
        <v>2426</v>
      </c>
      <c r="E1267" s="181"/>
      <c r="F1267" s="180"/>
      <c r="G1267" s="92">
        <v>4</v>
      </c>
      <c r="H1267" s="96">
        <v>0</v>
      </c>
      <c r="I1267" s="19"/>
    </row>
    <row r="1268" spans="1:9" ht="12.2" customHeight="1">
      <c r="A1268" s="47" t="s">
        <v>681</v>
      </c>
      <c r="B1268" s="55" t="s">
        <v>64</v>
      </c>
      <c r="C1268" s="55" t="s">
        <v>943</v>
      </c>
      <c r="D1268" s="180" t="s">
        <v>2427</v>
      </c>
      <c r="E1268" s="181"/>
      <c r="F1268" s="180"/>
      <c r="G1268" s="92">
        <v>2</v>
      </c>
      <c r="H1268" s="96">
        <v>0</v>
      </c>
      <c r="I1268" s="19"/>
    </row>
    <row r="1269" spans="1:9">
      <c r="A1269" s="47" t="s">
        <v>682</v>
      </c>
      <c r="B1269" s="55" t="s">
        <v>64</v>
      </c>
      <c r="C1269" s="55" t="s">
        <v>909</v>
      </c>
      <c r="D1269" s="165" t="s">
        <v>1332</v>
      </c>
      <c r="E1269" s="166"/>
      <c r="F1269" s="55" t="s">
        <v>1642</v>
      </c>
      <c r="G1269" s="64">
        <v>5</v>
      </c>
      <c r="H1269" s="96">
        <v>0</v>
      </c>
      <c r="I1269" s="19"/>
    </row>
    <row r="1270" spans="1:9">
      <c r="A1270" s="47" t="s">
        <v>683</v>
      </c>
      <c r="B1270" s="55" t="s">
        <v>64</v>
      </c>
      <c r="C1270" s="55" t="s">
        <v>944</v>
      </c>
      <c r="D1270" s="165" t="s">
        <v>1391</v>
      </c>
      <c r="E1270" s="166"/>
      <c r="F1270" s="55" t="s">
        <v>1641</v>
      </c>
      <c r="G1270" s="64">
        <v>4</v>
      </c>
      <c r="H1270" s="96">
        <v>0</v>
      </c>
      <c r="I1270" s="19"/>
    </row>
    <row r="1271" spans="1:9">
      <c r="A1271" s="47" t="s">
        <v>684</v>
      </c>
      <c r="B1271" s="55" t="s">
        <v>64</v>
      </c>
      <c r="C1271" s="55" t="s">
        <v>912</v>
      </c>
      <c r="D1271" s="165" t="s">
        <v>1335</v>
      </c>
      <c r="E1271" s="166"/>
      <c r="F1271" s="55" t="s">
        <v>1644</v>
      </c>
      <c r="G1271" s="64">
        <v>82.087000000000003</v>
      </c>
      <c r="H1271" s="96">
        <v>0</v>
      </c>
      <c r="I1271" s="19"/>
    </row>
    <row r="1272" spans="1:9">
      <c r="A1272" s="87"/>
      <c r="B1272" s="54"/>
      <c r="C1272" s="54" t="s">
        <v>157</v>
      </c>
      <c r="D1272" s="163" t="s">
        <v>208</v>
      </c>
      <c r="E1272" s="164"/>
      <c r="F1272" s="54"/>
      <c r="G1272" s="77"/>
      <c r="H1272" s="72"/>
      <c r="I1272" s="19"/>
    </row>
    <row r="1273" spans="1:9">
      <c r="A1273" s="47" t="s">
        <v>685</v>
      </c>
      <c r="B1273" s="55" t="s">
        <v>62</v>
      </c>
      <c r="C1273" s="55" t="s">
        <v>901</v>
      </c>
      <c r="D1273" s="165" t="s">
        <v>1318</v>
      </c>
      <c r="E1273" s="166"/>
      <c r="F1273" s="55" t="s">
        <v>1641</v>
      </c>
      <c r="G1273" s="64">
        <v>80</v>
      </c>
      <c r="H1273" s="96">
        <v>0</v>
      </c>
      <c r="I1273" s="19"/>
    </row>
    <row r="1274" spans="1:9">
      <c r="A1274" s="47" t="s">
        <v>686</v>
      </c>
      <c r="B1274" s="55" t="s">
        <v>62</v>
      </c>
      <c r="C1274" s="55" t="s">
        <v>902</v>
      </c>
      <c r="D1274" s="165" t="s">
        <v>1320</v>
      </c>
      <c r="E1274" s="166"/>
      <c r="F1274" s="55" t="s">
        <v>1641</v>
      </c>
      <c r="G1274" s="64">
        <v>80</v>
      </c>
      <c r="H1274" s="96">
        <v>0</v>
      </c>
      <c r="I1274" s="19"/>
    </row>
    <row r="1275" spans="1:9" ht="12.2" customHeight="1">
      <c r="A1275" s="19"/>
      <c r="D1275" s="180" t="s">
        <v>2428</v>
      </c>
      <c r="E1275" s="181"/>
      <c r="F1275" s="181"/>
      <c r="G1275" s="92">
        <v>36</v>
      </c>
      <c r="H1275" s="16"/>
      <c r="I1275" s="19"/>
    </row>
    <row r="1276" spans="1:9" ht="12.2" customHeight="1">
      <c r="A1276" s="47"/>
      <c r="B1276" s="55"/>
      <c r="C1276" s="55"/>
      <c r="D1276" s="180" t="s">
        <v>2429</v>
      </c>
      <c r="E1276" s="181"/>
      <c r="F1276" s="180"/>
      <c r="G1276" s="92">
        <v>44</v>
      </c>
      <c r="H1276" s="73"/>
      <c r="I1276" s="19"/>
    </row>
    <row r="1277" spans="1:9" ht="12.2" customHeight="1">
      <c r="A1277" s="47"/>
      <c r="B1277" s="55"/>
      <c r="C1277" s="55"/>
      <c r="D1277" s="180" t="s">
        <v>2430</v>
      </c>
      <c r="E1277" s="181"/>
      <c r="F1277" s="180"/>
      <c r="G1277" s="92">
        <v>0</v>
      </c>
      <c r="H1277" s="73"/>
      <c r="I1277" s="19"/>
    </row>
    <row r="1278" spans="1:9">
      <c r="A1278" s="47" t="s">
        <v>687</v>
      </c>
      <c r="B1278" s="55" t="s">
        <v>62</v>
      </c>
      <c r="C1278" s="55" t="s">
        <v>903</v>
      </c>
      <c r="D1278" s="165" t="s">
        <v>1322</v>
      </c>
      <c r="E1278" s="166"/>
      <c r="F1278" s="55" t="s">
        <v>1641</v>
      </c>
      <c r="G1278" s="64">
        <v>80</v>
      </c>
      <c r="H1278" s="96">
        <v>0</v>
      </c>
      <c r="I1278" s="19"/>
    </row>
    <row r="1279" spans="1:9">
      <c r="A1279" s="47" t="s">
        <v>688</v>
      </c>
      <c r="B1279" s="55" t="s">
        <v>62</v>
      </c>
      <c r="C1279" s="55" t="s">
        <v>904</v>
      </c>
      <c r="D1279" s="165" t="s">
        <v>1324</v>
      </c>
      <c r="E1279" s="166"/>
      <c r="F1279" s="55" t="s">
        <v>1641</v>
      </c>
      <c r="G1279" s="64">
        <v>1</v>
      </c>
      <c r="H1279" s="96">
        <v>0</v>
      </c>
      <c r="I1279" s="19"/>
    </row>
    <row r="1280" spans="1:9">
      <c r="A1280" s="47" t="s">
        <v>689</v>
      </c>
      <c r="B1280" s="55" t="s">
        <v>62</v>
      </c>
      <c r="C1280" s="55" t="s">
        <v>905</v>
      </c>
      <c r="D1280" s="165" t="s">
        <v>1326</v>
      </c>
      <c r="E1280" s="166"/>
      <c r="F1280" s="55" t="s">
        <v>1641</v>
      </c>
      <c r="G1280" s="64">
        <v>1</v>
      </c>
      <c r="H1280" s="96">
        <v>0</v>
      </c>
      <c r="I1280" s="19"/>
    </row>
    <row r="1281" spans="1:9">
      <c r="A1281" s="47" t="s">
        <v>690</v>
      </c>
      <c r="B1281" s="55" t="s">
        <v>62</v>
      </c>
      <c r="C1281" s="55" t="s">
        <v>906</v>
      </c>
      <c r="D1281" s="165" t="s">
        <v>1327</v>
      </c>
      <c r="E1281" s="166"/>
      <c r="F1281" s="55" t="s">
        <v>129</v>
      </c>
      <c r="G1281" s="64">
        <v>0.53200000000000003</v>
      </c>
      <c r="H1281" s="96">
        <v>0</v>
      </c>
      <c r="I1281" s="19"/>
    </row>
    <row r="1282" spans="1:9">
      <c r="A1282" s="47" t="s">
        <v>691</v>
      </c>
      <c r="B1282" s="55" t="s">
        <v>63</v>
      </c>
      <c r="C1282" s="55" t="s">
        <v>913</v>
      </c>
      <c r="D1282" s="165" t="s">
        <v>1337</v>
      </c>
      <c r="E1282" s="166"/>
      <c r="F1282" s="55" t="s">
        <v>1640</v>
      </c>
      <c r="G1282" s="64">
        <v>80</v>
      </c>
      <c r="H1282" s="96">
        <v>0</v>
      </c>
      <c r="I1282" s="19"/>
    </row>
    <row r="1283" spans="1:9">
      <c r="A1283" s="47" t="s">
        <v>692</v>
      </c>
      <c r="B1283" s="55" t="s">
        <v>63</v>
      </c>
      <c r="C1283" s="55" t="s">
        <v>914</v>
      </c>
      <c r="D1283" s="165" t="s">
        <v>1338</v>
      </c>
      <c r="E1283" s="166"/>
      <c r="F1283" s="55" t="s">
        <v>1641</v>
      </c>
      <c r="G1283" s="64">
        <v>80</v>
      </c>
      <c r="H1283" s="96">
        <v>0</v>
      </c>
      <c r="I1283" s="19"/>
    </row>
    <row r="1284" spans="1:9">
      <c r="A1284" s="48" t="s">
        <v>693</v>
      </c>
      <c r="B1284" s="56" t="s">
        <v>63</v>
      </c>
      <c r="C1284" s="56" t="s">
        <v>915</v>
      </c>
      <c r="D1284" s="170" t="s">
        <v>1339</v>
      </c>
      <c r="E1284" s="171"/>
      <c r="F1284" s="56" t="s">
        <v>1641</v>
      </c>
      <c r="G1284" s="65">
        <v>72</v>
      </c>
      <c r="H1284" s="97">
        <v>0</v>
      </c>
      <c r="I1284" s="19"/>
    </row>
    <row r="1285" spans="1:9">
      <c r="A1285" s="48" t="s">
        <v>694</v>
      </c>
      <c r="B1285" s="56" t="s">
        <v>63</v>
      </c>
      <c r="C1285" s="56" t="s">
        <v>916</v>
      </c>
      <c r="D1285" s="170" t="s">
        <v>1341</v>
      </c>
      <c r="E1285" s="171"/>
      <c r="F1285" s="56" t="s">
        <v>1641</v>
      </c>
      <c r="G1285" s="65">
        <v>7</v>
      </c>
      <c r="H1285" s="97">
        <v>0</v>
      </c>
      <c r="I1285" s="19"/>
    </row>
    <row r="1286" spans="1:9">
      <c r="A1286" s="48" t="s">
        <v>695</v>
      </c>
      <c r="B1286" s="56" t="s">
        <v>63</v>
      </c>
      <c r="C1286" s="56" t="s">
        <v>917</v>
      </c>
      <c r="D1286" s="170" t="s">
        <v>1343</v>
      </c>
      <c r="E1286" s="171"/>
      <c r="F1286" s="56" t="s">
        <v>1641</v>
      </c>
      <c r="G1286" s="65">
        <v>1</v>
      </c>
      <c r="H1286" s="97">
        <v>0</v>
      </c>
      <c r="I1286" s="19"/>
    </row>
    <row r="1287" spans="1:9" ht="12.2" customHeight="1">
      <c r="A1287" s="47" t="s">
        <v>696</v>
      </c>
      <c r="B1287" s="55" t="s">
        <v>63</v>
      </c>
      <c r="C1287" s="55" t="s">
        <v>918</v>
      </c>
      <c r="D1287" s="180" t="s">
        <v>2431</v>
      </c>
      <c r="E1287" s="181"/>
      <c r="F1287" s="180"/>
      <c r="G1287" s="92">
        <v>36</v>
      </c>
      <c r="H1287" s="96">
        <v>0</v>
      </c>
      <c r="I1287" s="19"/>
    </row>
    <row r="1288" spans="1:9" ht="12.2" customHeight="1">
      <c r="A1288" s="48" t="s">
        <v>697</v>
      </c>
      <c r="B1288" s="56" t="s">
        <v>63</v>
      </c>
      <c r="C1288" s="56" t="s">
        <v>919</v>
      </c>
      <c r="D1288" s="182" t="s">
        <v>2432</v>
      </c>
      <c r="E1288" s="183"/>
      <c r="F1288" s="182"/>
      <c r="G1288" s="93">
        <v>35</v>
      </c>
      <c r="H1288" s="97">
        <v>0</v>
      </c>
      <c r="I1288" s="19"/>
    </row>
    <row r="1289" spans="1:9">
      <c r="A1289" s="48" t="s">
        <v>698</v>
      </c>
      <c r="B1289" s="56" t="s">
        <v>63</v>
      </c>
      <c r="C1289" s="56" t="s">
        <v>920</v>
      </c>
      <c r="D1289" s="170" t="s">
        <v>1349</v>
      </c>
      <c r="E1289" s="171"/>
      <c r="F1289" s="56" t="s">
        <v>1641</v>
      </c>
      <c r="G1289" s="65">
        <v>1</v>
      </c>
      <c r="H1289" s="97">
        <v>0</v>
      </c>
      <c r="I1289" s="19"/>
    </row>
    <row r="1290" spans="1:9" ht="12.2" customHeight="1">
      <c r="A1290" s="47" t="s">
        <v>699</v>
      </c>
      <c r="B1290" s="55" t="s">
        <v>63</v>
      </c>
      <c r="C1290" s="55" t="s">
        <v>921</v>
      </c>
      <c r="D1290" s="180" t="s">
        <v>2429</v>
      </c>
      <c r="E1290" s="181"/>
      <c r="F1290" s="180"/>
      <c r="G1290" s="92">
        <v>44</v>
      </c>
      <c r="H1290" s="96">
        <v>0</v>
      </c>
      <c r="I1290" s="19"/>
    </row>
    <row r="1291" spans="1:9" ht="12.2" customHeight="1">
      <c r="A1291" s="48" t="s">
        <v>700</v>
      </c>
      <c r="B1291" s="56" t="s">
        <v>63</v>
      </c>
      <c r="C1291" s="56" t="s">
        <v>922</v>
      </c>
      <c r="D1291" s="182" t="s">
        <v>2429</v>
      </c>
      <c r="E1291" s="183"/>
      <c r="F1291" s="182"/>
      <c r="G1291" s="93">
        <v>44</v>
      </c>
      <c r="H1291" s="97">
        <v>0</v>
      </c>
      <c r="I1291" s="19"/>
    </row>
    <row r="1292" spans="1:9">
      <c r="A1292" s="47" t="s">
        <v>701</v>
      </c>
      <c r="B1292" s="55" t="s">
        <v>63</v>
      </c>
      <c r="C1292" s="55" t="s">
        <v>923</v>
      </c>
      <c r="D1292" s="165" t="s">
        <v>1355</v>
      </c>
      <c r="E1292" s="166"/>
      <c r="F1292" s="55" t="s">
        <v>1641</v>
      </c>
      <c r="G1292" s="64">
        <v>80</v>
      </c>
      <c r="H1292" s="96">
        <v>0</v>
      </c>
      <c r="I1292" s="19"/>
    </row>
    <row r="1293" spans="1:9">
      <c r="A1293" s="47" t="s">
        <v>702</v>
      </c>
      <c r="B1293" s="55" t="s">
        <v>63</v>
      </c>
      <c r="C1293" s="55" t="s">
        <v>924</v>
      </c>
      <c r="D1293" s="165" t="s">
        <v>1356</v>
      </c>
      <c r="E1293" s="166"/>
      <c r="F1293" s="55" t="s">
        <v>1644</v>
      </c>
      <c r="G1293" s="64">
        <v>1173.748</v>
      </c>
      <c r="H1293" s="96">
        <v>0</v>
      </c>
      <c r="I1293" s="19"/>
    </row>
    <row r="1294" spans="1:9">
      <c r="A1294" s="47" t="s">
        <v>703</v>
      </c>
      <c r="B1294" s="55" t="s">
        <v>64</v>
      </c>
      <c r="C1294" s="55" t="s">
        <v>945</v>
      </c>
      <c r="D1294" s="165" t="s">
        <v>1392</v>
      </c>
      <c r="E1294" s="166"/>
      <c r="F1294" s="55" t="s">
        <v>1641</v>
      </c>
      <c r="G1294" s="64">
        <v>1</v>
      </c>
      <c r="H1294" s="96">
        <v>0</v>
      </c>
      <c r="I1294" s="19"/>
    </row>
    <row r="1295" spans="1:9">
      <c r="A1295" s="48" t="s">
        <v>704</v>
      </c>
      <c r="B1295" s="56" t="s">
        <v>64</v>
      </c>
      <c r="C1295" s="56" t="s">
        <v>946</v>
      </c>
      <c r="D1295" s="170" t="s">
        <v>1393</v>
      </c>
      <c r="E1295" s="171"/>
      <c r="F1295" s="56" t="s">
        <v>1643</v>
      </c>
      <c r="G1295" s="65">
        <v>1</v>
      </c>
      <c r="H1295" s="97">
        <v>0</v>
      </c>
      <c r="I1295" s="19"/>
    </row>
    <row r="1296" spans="1:9">
      <c r="A1296" s="47" t="s">
        <v>705</v>
      </c>
      <c r="B1296" s="55" t="s">
        <v>64</v>
      </c>
      <c r="C1296" s="55" t="s">
        <v>947</v>
      </c>
      <c r="D1296" s="165" t="s">
        <v>1394</v>
      </c>
      <c r="E1296" s="166"/>
      <c r="F1296" s="55" t="s">
        <v>1641</v>
      </c>
      <c r="G1296" s="64">
        <v>1</v>
      </c>
      <c r="H1296" s="96">
        <v>0</v>
      </c>
      <c r="I1296" s="19"/>
    </row>
    <row r="1297" spans="1:9">
      <c r="A1297" s="48" t="s">
        <v>706</v>
      </c>
      <c r="B1297" s="56" t="s">
        <v>64</v>
      </c>
      <c r="C1297" s="56" t="s">
        <v>948</v>
      </c>
      <c r="D1297" s="170" t="s">
        <v>1396</v>
      </c>
      <c r="E1297" s="171"/>
      <c r="F1297" s="56" t="s">
        <v>1643</v>
      </c>
      <c r="G1297" s="65">
        <v>1</v>
      </c>
      <c r="H1297" s="97">
        <v>0</v>
      </c>
      <c r="I1297" s="19"/>
    </row>
    <row r="1298" spans="1:9">
      <c r="A1298" s="47" t="s">
        <v>707</v>
      </c>
      <c r="B1298" s="55" t="s">
        <v>64</v>
      </c>
      <c r="C1298" s="55" t="s">
        <v>949</v>
      </c>
      <c r="D1298" s="165" t="s">
        <v>1398</v>
      </c>
      <c r="E1298" s="166"/>
      <c r="F1298" s="55" t="s">
        <v>1641</v>
      </c>
      <c r="G1298" s="64">
        <v>1</v>
      </c>
      <c r="H1298" s="96">
        <v>0</v>
      </c>
      <c r="I1298" s="19"/>
    </row>
    <row r="1299" spans="1:9">
      <c r="A1299" s="48" t="s">
        <v>708</v>
      </c>
      <c r="B1299" s="56" t="s">
        <v>64</v>
      </c>
      <c r="C1299" s="56" t="s">
        <v>950</v>
      </c>
      <c r="D1299" s="170" t="s">
        <v>1400</v>
      </c>
      <c r="E1299" s="171"/>
      <c r="F1299" s="56" t="s">
        <v>1643</v>
      </c>
      <c r="G1299" s="65">
        <v>1</v>
      </c>
      <c r="H1299" s="97">
        <v>0</v>
      </c>
      <c r="I1299" s="19"/>
    </row>
    <row r="1300" spans="1:9">
      <c r="A1300" s="47" t="s">
        <v>709</v>
      </c>
      <c r="B1300" s="55" t="s">
        <v>64</v>
      </c>
      <c r="C1300" s="55" t="s">
        <v>951</v>
      </c>
      <c r="D1300" s="165" t="s">
        <v>1401</v>
      </c>
      <c r="E1300" s="166"/>
      <c r="F1300" s="55" t="s">
        <v>1641</v>
      </c>
      <c r="G1300" s="64">
        <v>1</v>
      </c>
      <c r="H1300" s="96">
        <v>0</v>
      </c>
      <c r="I1300" s="19"/>
    </row>
    <row r="1301" spans="1:9">
      <c r="A1301" s="47" t="s">
        <v>710</v>
      </c>
      <c r="B1301" s="55" t="s">
        <v>64</v>
      </c>
      <c r="C1301" s="55" t="s">
        <v>952</v>
      </c>
      <c r="D1301" s="165" t="s">
        <v>1402</v>
      </c>
      <c r="E1301" s="166"/>
      <c r="F1301" s="55" t="s">
        <v>1641</v>
      </c>
      <c r="G1301" s="64">
        <v>1</v>
      </c>
      <c r="H1301" s="96">
        <v>0</v>
      </c>
      <c r="I1301" s="19"/>
    </row>
    <row r="1302" spans="1:9">
      <c r="A1302" s="47" t="s">
        <v>711</v>
      </c>
      <c r="B1302" s="55" t="s">
        <v>64</v>
      </c>
      <c r="C1302" s="55" t="s">
        <v>953</v>
      </c>
      <c r="D1302" s="165" t="s">
        <v>1404</v>
      </c>
      <c r="E1302" s="166"/>
      <c r="F1302" s="55" t="s">
        <v>1641</v>
      </c>
      <c r="G1302" s="64">
        <v>4</v>
      </c>
      <c r="H1302" s="96">
        <v>0</v>
      </c>
      <c r="I1302" s="19"/>
    </row>
    <row r="1303" spans="1:9">
      <c r="A1303" s="47" t="s">
        <v>712</v>
      </c>
      <c r="B1303" s="55" t="s">
        <v>64</v>
      </c>
      <c r="C1303" s="55" t="s">
        <v>954</v>
      </c>
      <c r="D1303" s="165" t="s">
        <v>1405</v>
      </c>
      <c r="E1303" s="166"/>
      <c r="F1303" s="55" t="s">
        <v>1641</v>
      </c>
      <c r="G1303" s="64">
        <v>4</v>
      </c>
      <c r="H1303" s="96">
        <v>0</v>
      </c>
      <c r="I1303" s="19"/>
    </row>
    <row r="1304" spans="1:9">
      <c r="A1304" s="47" t="s">
        <v>713</v>
      </c>
      <c r="B1304" s="55" t="s">
        <v>64</v>
      </c>
      <c r="C1304" s="55" t="s">
        <v>955</v>
      </c>
      <c r="D1304" s="165" t="s">
        <v>1407</v>
      </c>
      <c r="E1304" s="166"/>
      <c r="F1304" s="55" t="s">
        <v>1641</v>
      </c>
      <c r="G1304" s="64">
        <v>4</v>
      </c>
      <c r="H1304" s="96">
        <v>0</v>
      </c>
      <c r="I1304" s="19"/>
    </row>
    <row r="1305" spans="1:9">
      <c r="A1305" s="47" t="s">
        <v>714</v>
      </c>
      <c r="B1305" s="55" t="s">
        <v>64</v>
      </c>
      <c r="C1305" s="55" t="s">
        <v>956</v>
      </c>
      <c r="D1305" s="165" t="s">
        <v>1409</v>
      </c>
      <c r="E1305" s="166"/>
      <c r="F1305" s="55" t="s">
        <v>1641</v>
      </c>
      <c r="G1305" s="64">
        <v>1</v>
      </c>
      <c r="H1305" s="96">
        <v>0</v>
      </c>
      <c r="I1305" s="19"/>
    </row>
    <row r="1306" spans="1:9">
      <c r="A1306" s="47" t="s">
        <v>715</v>
      </c>
      <c r="B1306" s="55" t="s">
        <v>64</v>
      </c>
      <c r="C1306" s="55" t="s">
        <v>924</v>
      </c>
      <c r="D1306" s="165" t="s">
        <v>1356</v>
      </c>
      <c r="E1306" s="166"/>
      <c r="F1306" s="55" t="s">
        <v>1644</v>
      </c>
      <c r="G1306" s="64">
        <v>297.22000000000003</v>
      </c>
      <c r="H1306" s="96">
        <v>0</v>
      </c>
      <c r="I1306" s="19"/>
    </row>
    <row r="1307" spans="1:9">
      <c r="A1307" s="87"/>
      <c r="B1307" s="54"/>
      <c r="C1307" s="54" t="s">
        <v>158</v>
      </c>
      <c r="D1307" s="163" t="s">
        <v>209</v>
      </c>
      <c r="E1307" s="164"/>
      <c r="F1307" s="54"/>
      <c r="G1307" s="77"/>
      <c r="H1307" s="72"/>
      <c r="I1307" s="19"/>
    </row>
    <row r="1308" spans="1:9">
      <c r="A1308" s="47" t="s">
        <v>716</v>
      </c>
      <c r="B1308" s="55" t="s">
        <v>62</v>
      </c>
      <c r="C1308" s="55" t="s">
        <v>907</v>
      </c>
      <c r="D1308" s="165" t="s">
        <v>1329</v>
      </c>
      <c r="E1308" s="166"/>
      <c r="F1308" s="55" t="s">
        <v>1643</v>
      </c>
      <c r="G1308" s="64">
        <v>1</v>
      </c>
      <c r="H1308" s="96">
        <v>0</v>
      </c>
      <c r="I1308" s="19"/>
    </row>
    <row r="1309" spans="1:9">
      <c r="A1309" s="47" t="s">
        <v>717</v>
      </c>
      <c r="B1309" s="55" t="s">
        <v>63</v>
      </c>
      <c r="C1309" s="55" t="s">
        <v>925</v>
      </c>
      <c r="D1309" s="165" t="s">
        <v>1358</v>
      </c>
      <c r="E1309" s="166"/>
      <c r="F1309" s="55" t="s">
        <v>1641</v>
      </c>
      <c r="G1309" s="64">
        <v>80</v>
      </c>
      <c r="H1309" s="96">
        <v>0</v>
      </c>
      <c r="I1309" s="19"/>
    </row>
    <row r="1310" spans="1:9">
      <c r="A1310" s="47" t="s">
        <v>718</v>
      </c>
      <c r="B1310" s="55" t="s">
        <v>63</v>
      </c>
      <c r="C1310" s="55" t="s">
        <v>926</v>
      </c>
      <c r="D1310" s="165" t="s">
        <v>1360</v>
      </c>
      <c r="E1310" s="166"/>
      <c r="F1310" s="55" t="s">
        <v>1641</v>
      </c>
      <c r="G1310" s="64">
        <v>80</v>
      </c>
      <c r="H1310" s="96">
        <v>0</v>
      </c>
      <c r="I1310" s="19"/>
    </row>
    <row r="1311" spans="1:9">
      <c r="A1311" s="47" t="s">
        <v>719</v>
      </c>
      <c r="B1311" s="55" t="s">
        <v>63</v>
      </c>
      <c r="C1311" s="55" t="s">
        <v>927</v>
      </c>
      <c r="D1311" s="165" t="s">
        <v>1362</v>
      </c>
      <c r="E1311" s="166"/>
      <c r="F1311" s="55" t="s">
        <v>1645</v>
      </c>
      <c r="G1311" s="64">
        <v>125</v>
      </c>
      <c r="H1311" s="96">
        <v>0</v>
      </c>
      <c r="I1311" s="19"/>
    </row>
    <row r="1312" spans="1:9">
      <c r="A1312" s="47" t="s">
        <v>720</v>
      </c>
      <c r="B1312" s="55" t="s">
        <v>63</v>
      </c>
      <c r="C1312" s="55" t="s">
        <v>928</v>
      </c>
      <c r="D1312" s="165" t="s">
        <v>1364</v>
      </c>
      <c r="E1312" s="166"/>
      <c r="F1312" s="55" t="s">
        <v>1644</v>
      </c>
      <c r="G1312" s="64">
        <v>129.685</v>
      </c>
      <c r="H1312" s="96">
        <v>0</v>
      </c>
      <c r="I1312" s="19"/>
    </row>
    <row r="1313" spans="1:9">
      <c r="A1313" s="87"/>
      <c r="B1313" s="54"/>
      <c r="C1313" s="54" t="s">
        <v>159</v>
      </c>
      <c r="D1313" s="163" t="s">
        <v>40</v>
      </c>
      <c r="E1313" s="164"/>
      <c r="F1313" s="54"/>
      <c r="G1313" s="77"/>
      <c r="H1313" s="72"/>
      <c r="I1313" s="19"/>
    </row>
    <row r="1314" spans="1:9">
      <c r="A1314" s="47" t="s">
        <v>721</v>
      </c>
      <c r="B1314" s="55" t="s">
        <v>62</v>
      </c>
      <c r="C1314" s="55" t="s">
        <v>908</v>
      </c>
      <c r="D1314" s="165" t="s">
        <v>1331</v>
      </c>
      <c r="E1314" s="166"/>
      <c r="F1314" s="55" t="s">
        <v>1640</v>
      </c>
      <c r="G1314" s="64">
        <v>70</v>
      </c>
      <c r="H1314" s="96">
        <v>0</v>
      </c>
      <c r="I1314" s="19"/>
    </row>
    <row r="1315" spans="1:9" ht="12.2" customHeight="1">
      <c r="A1315" s="47" t="s">
        <v>722</v>
      </c>
      <c r="B1315" s="55" t="s">
        <v>63</v>
      </c>
      <c r="C1315" s="55" t="s">
        <v>929</v>
      </c>
      <c r="D1315" s="180" t="s">
        <v>2433</v>
      </c>
      <c r="E1315" s="181"/>
      <c r="F1315" s="180"/>
      <c r="G1315" s="92">
        <v>32</v>
      </c>
      <c r="H1315" s="96">
        <v>0</v>
      </c>
      <c r="I1315" s="19"/>
    </row>
    <row r="1316" spans="1:9">
      <c r="A1316" s="47" t="s">
        <v>723</v>
      </c>
      <c r="B1316" s="55" t="s">
        <v>63</v>
      </c>
      <c r="C1316" s="55" t="s">
        <v>930</v>
      </c>
      <c r="D1316" s="165" t="s">
        <v>1367</v>
      </c>
      <c r="E1316" s="166"/>
      <c r="F1316" s="55" t="s">
        <v>1640</v>
      </c>
      <c r="G1316" s="64">
        <v>70</v>
      </c>
      <c r="H1316" s="96">
        <v>0</v>
      </c>
      <c r="I1316" s="19"/>
    </row>
    <row r="1317" spans="1:9">
      <c r="A1317" s="47" t="s">
        <v>724</v>
      </c>
      <c r="B1317" s="55" t="s">
        <v>64</v>
      </c>
      <c r="C1317" s="55" t="s">
        <v>908</v>
      </c>
      <c r="D1317" s="165" t="s">
        <v>1411</v>
      </c>
      <c r="E1317" s="166"/>
      <c r="F1317" s="55" t="s">
        <v>1646</v>
      </c>
      <c r="G1317" s="64">
        <v>6</v>
      </c>
      <c r="H1317" s="96">
        <v>0</v>
      </c>
      <c r="I1317" s="19"/>
    </row>
    <row r="1318" spans="1:9">
      <c r="A1318" s="47" t="s">
        <v>725</v>
      </c>
      <c r="B1318" s="55" t="s">
        <v>64</v>
      </c>
      <c r="C1318" s="55" t="s">
        <v>930</v>
      </c>
      <c r="D1318" s="165" t="s">
        <v>1412</v>
      </c>
      <c r="E1318" s="166"/>
      <c r="F1318" s="55" t="s">
        <v>1643</v>
      </c>
      <c r="G1318" s="64">
        <v>1</v>
      </c>
      <c r="H1318" s="96">
        <v>0</v>
      </c>
      <c r="I1318" s="19"/>
    </row>
    <row r="1319" spans="1:9">
      <c r="A1319" s="87"/>
      <c r="B1319" s="54"/>
      <c r="C1319" s="54" t="s">
        <v>160</v>
      </c>
      <c r="D1319" s="163" t="s">
        <v>210</v>
      </c>
      <c r="E1319" s="164"/>
      <c r="F1319" s="54"/>
      <c r="G1319" s="77"/>
      <c r="H1319" s="72"/>
      <c r="I1319" s="19"/>
    </row>
    <row r="1320" spans="1:9">
      <c r="A1320" s="47" t="s">
        <v>726</v>
      </c>
      <c r="B1320" s="55" t="s">
        <v>64</v>
      </c>
      <c r="C1320" s="55" t="s">
        <v>957</v>
      </c>
      <c r="D1320" s="165" t="s">
        <v>1413</v>
      </c>
      <c r="E1320" s="166"/>
      <c r="F1320" s="55" t="s">
        <v>1640</v>
      </c>
      <c r="G1320" s="64">
        <v>1</v>
      </c>
      <c r="H1320" s="96">
        <v>0</v>
      </c>
      <c r="I1320" s="19"/>
    </row>
    <row r="1321" spans="1:9">
      <c r="A1321" s="47" t="s">
        <v>727</v>
      </c>
      <c r="B1321" s="55" t="s">
        <v>64</v>
      </c>
      <c r="C1321" s="55" t="s">
        <v>958</v>
      </c>
      <c r="D1321" s="165" t="s">
        <v>1414</v>
      </c>
      <c r="E1321" s="166"/>
      <c r="F1321" s="55" t="s">
        <v>1640</v>
      </c>
      <c r="G1321" s="64">
        <v>1</v>
      </c>
      <c r="H1321" s="96">
        <v>0</v>
      </c>
      <c r="I1321" s="19"/>
    </row>
    <row r="1322" spans="1:9">
      <c r="A1322" s="47" t="s">
        <v>728</v>
      </c>
      <c r="B1322" s="55" t="s">
        <v>64</v>
      </c>
      <c r="C1322" s="55" t="s">
        <v>959</v>
      </c>
      <c r="D1322" s="165" t="s">
        <v>1416</v>
      </c>
      <c r="E1322" s="166"/>
      <c r="F1322" s="55" t="s">
        <v>1640</v>
      </c>
      <c r="G1322" s="64">
        <v>1</v>
      </c>
      <c r="H1322" s="96">
        <v>0</v>
      </c>
      <c r="I1322" s="19"/>
    </row>
    <row r="1323" spans="1:9">
      <c r="A1323" s="50" t="s">
        <v>55</v>
      </c>
      <c r="B1323" s="58" t="s">
        <v>64</v>
      </c>
      <c r="C1323" s="58" t="s">
        <v>960</v>
      </c>
      <c r="D1323" s="174" t="s">
        <v>1417</v>
      </c>
      <c r="E1323" s="175"/>
      <c r="F1323" s="58" t="s">
        <v>1644</v>
      </c>
      <c r="G1323" s="66">
        <v>7.5</v>
      </c>
      <c r="H1323" s="98">
        <v>0</v>
      </c>
      <c r="I1323" s="19"/>
    </row>
    <row r="1324" spans="1:9">
      <c r="A1324" s="5"/>
      <c r="B1324" s="5"/>
      <c r="C1324" s="5"/>
      <c r="D1324" s="5"/>
      <c r="E1324" s="5"/>
      <c r="F1324" s="5"/>
      <c r="G1324" s="5"/>
      <c r="H1324" s="5"/>
    </row>
    <row r="1325" spans="1:9" ht="11.25" customHeight="1">
      <c r="A1325" s="27" t="s">
        <v>18</v>
      </c>
    </row>
    <row r="1326" spans="1:9">
      <c r="A1326" s="113"/>
      <c r="B1326" s="105"/>
      <c r="C1326" s="105"/>
      <c r="D1326" s="105"/>
      <c r="E1326" s="105"/>
      <c r="F1326" s="105"/>
      <c r="G1326" s="105"/>
    </row>
  </sheetData>
  <mergeCells count="1332">
    <mergeCell ref="A1326:G1326"/>
    <mergeCell ref="D1318:E1318"/>
    <mergeCell ref="D1319:E1319"/>
    <mergeCell ref="D1320:E1320"/>
    <mergeCell ref="D1321:E1321"/>
    <mergeCell ref="D1322:E1322"/>
    <mergeCell ref="D1323:E1323"/>
    <mergeCell ref="D1312:E1312"/>
    <mergeCell ref="D1313:E1313"/>
    <mergeCell ref="D1314:E1314"/>
    <mergeCell ref="D1315:F1315"/>
    <mergeCell ref="D1316:E1316"/>
    <mergeCell ref="D1317:E1317"/>
    <mergeCell ref="D1306:E1306"/>
    <mergeCell ref="D1307:E1307"/>
    <mergeCell ref="D1308:E1308"/>
    <mergeCell ref="D1309:E1309"/>
    <mergeCell ref="D1310:E1310"/>
    <mergeCell ref="D1311:E1311"/>
    <mergeCell ref="D1300:E1300"/>
    <mergeCell ref="D1301:E1301"/>
    <mergeCell ref="D1302:E1302"/>
    <mergeCell ref="D1303:E1303"/>
    <mergeCell ref="D1304:E1304"/>
    <mergeCell ref="D1305:E1305"/>
    <mergeCell ref="D1294:E1294"/>
    <mergeCell ref="D1295:E1295"/>
    <mergeCell ref="D1296:E1296"/>
    <mergeCell ref="D1297:E1297"/>
    <mergeCell ref="D1298:E1298"/>
    <mergeCell ref="D1299:E1299"/>
    <mergeCell ref="D1288:F1288"/>
    <mergeCell ref="D1289:E1289"/>
    <mergeCell ref="D1290:F1290"/>
    <mergeCell ref="D1291:F1291"/>
    <mergeCell ref="D1292:E1292"/>
    <mergeCell ref="D1293:E1293"/>
    <mergeCell ref="D1282:E1282"/>
    <mergeCell ref="D1283:E1283"/>
    <mergeCell ref="D1284:E1284"/>
    <mergeCell ref="D1285:E1285"/>
    <mergeCell ref="D1286:E1286"/>
    <mergeCell ref="D1287:F1287"/>
    <mergeCell ref="D1276:F1276"/>
    <mergeCell ref="D1277:F1277"/>
    <mergeCell ref="D1278:E1278"/>
    <mergeCell ref="D1279:E1279"/>
    <mergeCell ref="D1280:E1280"/>
    <mergeCell ref="D1281:E1281"/>
    <mergeCell ref="D1270:E1270"/>
    <mergeCell ref="D1271:E1271"/>
    <mergeCell ref="D1272:E1272"/>
    <mergeCell ref="D1273:E1273"/>
    <mergeCell ref="D1274:E1274"/>
    <mergeCell ref="D1275:F1275"/>
    <mergeCell ref="D1264:E1264"/>
    <mergeCell ref="D1265:E1265"/>
    <mergeCell ref="D1266:E1266"/>
    <mergeCell ref="D1267:F1267"/>
    <mergeCell ref="D1268:F1268"/>
    <mergeCell ref="D1269:E1269"/>
    <mergeCell ref="D1258:E1258"/>
    <mergeCell ref="D1259:E1259"/>
    <mergeCell ref="D1260:E1260"/>
    <mergeCell ref="D1261:F1261"/>
    <mergeCell ref="D1262:E1262"/>
    <mergeCell ref="D1263:E1263"/>
    <mergeCell ref="D1252:E1252"/>
    <mergeCell ref="D1253:E1253"/>
    <mergeCell ref="D1254:E1254"/>
    <mergeCell ref="D1255:E1255"/>
    <mergeCell ref="D1256:E1256"/>
    <mergeCell ref="D1257:E1257"/>
    <mergeCell ref="D1246:E1246"/>
    <mergeCell ref="D1247:E1247"/>
    <mergeCell ref="D1248:E1248"/>
    <mergeCell ref="D1249:F1249"/>
    <mergeCell ref="D1250:F1250"/>
    <mergeCell ref="D1251:E1251"/>
    <mergeCell ref="D1240:E1240"/>
    <mergeCell ref="D1241:F1241"/>
    <mergeCell ref="D1242:E1242"/>
    <mergeCell ref="D1243:E1243"/>
    <mergeCell ref="D1244:E1244"/>
    <mergeCell ref="D1245:E1245"/>
    <mergeCell ref="D1234:F1234"/>
    <mergeCell ref="D1235:E1235"/>
    <mergeCell ref="D1236:E1236"/>
    <mergeCell ref="D1237:E1237"/>
    <mergeCell ref="D1238:E1238"/>
    <mergeCell ref="D1239:E1239"/>
    <mergeCell ref="D1228:F1228"/>
    <mergeCell ref="D1229:F1229"/>
    <mergeCell ref="D1230:E1230"/>
    <mergeCell ref="D1231:E1231"/>
    <mergeCell ref="D1232:E1232"/>
    <mergeCell ref="D1233:F1233"/>
    <mergeCell ref="D1222:E1222"/>
    <mergeCell ref="D1223:F1223"/>
    <mergeCell ref="D1224:F1224"/>
    <mergeCell ref="D1225:F1225"/>
    <mergeCell ref="D1226:E1226"/>
    <mergeCell ref="D1227:F1227"/>
    <mergeCell ref="D1216:F1216"/>
    <mergeCell ref="D1217:F1217"/>
    <mergeCell ref="D1218:F1218"/>
    <mergeCell ref="D1219:F1219"/>
    <mergeCell ref="D1220:F1220"/>
    <mergeCell ref="D1221:E1221"/>
    <mergeCell ref="D1210:E1210"/>
    <mergeCell ref="D1211:F1211"/>
    <mergeCell ref="D1212:F1212"/>
    <mergeCell ref="D1213:F1213"/>
    <mergeCell ref="D1214:F1214"/>
    <mergeCell ref="D1215:E1215"/>
    <mergeCell ref="D1204:F1204"/>
    <mergeCell ref="D1205:E1205"/>
    <mergeCell ref="D1206:F1206"/>
    <mergeCell ref="D1207:F1207"/>
    <mergeCell ref="D1208:F1208"/>
    <mergeCell ref="D1209:F1209"/>
    <mergeCell ref="D1198:F1198"/>
    <mergeCell ref="D1199:F1199"/>
    <mergeCell ref="D1200:F1200"/>
    <mergeCell ref="D1201:F1201"/>
    <mergeCell ref="D1202:F1202"/>
    <mergeCell ref="D1203:E1203"/>
    <mergeCell ref="D1192:F1192"/>
    <mergeCell ref="D1193:F1193"/>
    <mergeCell ref="D1194:E1194"/>
    <mergeCell ref="D1195:F1195"/>
    <mergeCell ref="D1196:E1196"/>
    <mergeCell ref="D1197:E1197"/>
    <mergeCell ref="D1186:F1186"/>
    <mergeCell ref="D1187:F1187"/>
    <mergeCell ref="D1188:F1188"/>
    <mergeCell ref="D1189:E1189"/>
    <mergeCell ref="D1190:F1190"/>
    <mergeCell ref="D1191:F1191"/>
    <mergeCell ref="D1180:F1180"/>
    <mergeCell ref="D1181:E1181"/>
    <mergeCell ref="D1182:F1182"/>
    <mergeCell ref="D1183:E1183"/>
    <mergeCell ref="D1184:F1184"/>
    <mergeCell ref="D1185:F1185"/>
    <mergeCell ref="D1174:E1174"/>
    <mergeCell ref="D1175:E1175"/>
    <mergeCell ref="D1176:E1176"/>
    <mergeCell ref="D1177:F1177"/>
    <mergeCell ref="D1178:E1178"/>
    <mergeCell ref="D1179:F1179"/>
    <mergeCell ref="D1168:F1168"/>
    <mergeCell ref="D1169:F1169"/>
    <mergeCell ref="D1170:E1170"/>
    <mergeCell ref="D1171:F1171"/>
    <mergeCell ref="D1172:F1172"/>
    <mergeCell ref="D1173:F1173"/>
    <mergeCell ref="D1162:F1162"/>
    <mergeCell ref="D1163:F1163"/>
    <mergeCell ref="D1164:E1164"/>
    <mergeCell ref="D1165:F1165"/>
    <mergeCell ref="D1166:F1166"/>
    <mergeCell ref="D1167:F1167"/>
    <mergeCell ref="D1156:F1156"/>
    <mergeCell ref="D1157:F1157"/>
    <mergeCell ref="D1158:E1158"/>
    <mergeCell ref="D1159:E1159"/>
    <mergeCell ref="D1160:F1160"/>
    <mergeCell ref="D1161:F1161"/>
    <mergeCell ref="D1150:F1150"/>
    <mergeCell ref="D1151:F1151"/>
    <mergeCell ref="D1152:F1152"/>
    <mergeCell ref="D1153:F1153"/>
    <mergeCell ref="D1154:F1154"/>
    <mergeCell ref="D1155:F1155"/>
    <mergeCell ref="D1144:F1144"/>
    <mergeCell ref="D1145:F1145"/>
    <mergeCell ref="D1146:E1146"/>
    <mergeCell ref="D1147:E1147"/>
    <mergeCell ref="D1148:F1148"/>
    <mergeCell ref="D1149:F1149"/>
    <mergeCell ref="D1138:F1138"/>
    <mergeCell ref="D1139:F1139"/>
    <mergeCell ref="D1140:F1140"/>
    <mergeCell ref="D1141:E1141"/>
    <mergeCell ref="D1142:F1142"/>
    <mergeCell ref="D1143:F1143"/>
    <mergeCell ref="D1132:F1132"/>
    <mergeCell ref="D1133:F1133"/>
    <mergeCell ref="D1134:F1134"/>
    <mergeCell ref="D1135:F1135"/>
    <mergeCell ref="D1136:E1136"/>
    <mergeCell ref="D1137:F1137"/>
    <mergeCell ref="D1126:E1126"/>
    <mergeCell ref="D1127:F1127"/>
    <mergeCell ref="D1128:F1128"/>
    <mergeCell ref="D1129:F1129"/>
    <mergeCell ref="D1130:F1130"/>
    <mergeCell ref="D1131:E1131"/>
    <mergeCell ref="D1120:E1120"/>
    <mergeCell ref="D1121:E1121"/>
    <mergeCell ref="D1122:F1122"/>
    <mergeCell ref="D1123:F1123"/>
    <mergeCell ref="D1124:F1124"/>
    <mergeCell ref="D1125:F1125"/>
    <mergeCell ref="D1114:F1114"/>
    <mergeCell ref="D1115:E1115"/>
    <mergeCell ref="D1116:E1116"/>
    <mergeCell ref="D1117:F1117"/>
    <mergeCell ref="D1118:F1118"/>
    <mergeCell ref="D1119:F1119"/>
    <mergeCell ref="D1108:F1108"/>
    <mergeCell ref="D1109:F1109"/>
    <mergeCell ref="D1110:F1110"/>
    <mergeCell ref="D1111:F1111"/>
    <mergeCell ref="D1112:F1112"/>
    <mergeCell ref="D1113:F1113"/>
    <mergeCell ref="D1102:F1102"/>
    <mergeCell ref="D1103:F1103"/>
    <mergeCell ref="D1104:F1104"/>
    <mergeCell ref="D1105:F1105"/>
    <mergeCell ref="D1106:F1106"/>
    <mergeCell ref="D1107:E1107"/>
    <mergeCell ref="D1096:F1096"/>
    <mergeCell ref="D1097:E1097"/>
    <mergeCell ref="D1098:F1098"/>
    <mergeCell ref="D1099:F1099"/>
    <mergeCell ref="D1100:E1100"/>
    <mergeCell ref="D1101:F1101"/>
    <mergeCell ref="D1090:F1090"/>
    <mergeCell ref="D1091:F1091"/>
    <mergeCell ref="D1092:F1092"/>
    <mergeCell ref="D1093:F1093"/>
    <mergeCell ref="D1094:F1094"/>
    <mergeCell ref="D1095:F1095"/>
    <mergeCell ref="D1084:F1084"/>
    <mergeCell ref="D1085:F1085"/>
    <mergeCell ref="D1086:E1086"/>
    <mergeCell ref="D1087:F1087"/>
    <mergeCell ref="D1088:F1088"/>
    <mergeCell ref="D1089:E1089"/>
    <mergeCell ref="D1078:F1078"/>
    <mergeCell ref="D1079:F1079"/>
    <mergeCell ref="D1080:F1080"/>
    <mergeCell ref="D1081:F1081"/>
    <mergeCell ref="D1082:E1082"/>
    <mergeCell ref="D1083:F1083"/>
    <mergeCell ref="D1072:F1072"/>
    <mergeCell ref="D1073:E1073"/>
    <mergeCell ref="D1074:E1074"/>
    <mergeCell ref="D1075:E1075"/>
    <mergeCell ref="D1076:F1076"/>
    <mergeCell ref="D1077:F1077"/>
    <mergeCell ref="D1066:E1066"/>
    <mergeCell ref="D1067:E1067"/>
    <mergeCell ref="D1068:E1068"/>
    <mergeCell ref="D1069:E1069"/>
    <mergeCell ref="D1070:E1070"/>
    <mergeCell ref="D1071:F1071"/>
    <mergeCell ref="D1060:E1060"/>
    <mergeCell ref="D1061:E1061"/>
    <mergeCell ref="D1062:E1062"/>
    <mergeCell ref="D1063:E1063"/>
    <mergeCell ref="D1064:E1064"/>
    <mergeCell ref="D1065:E1065"/>
    <mergeCell ref="D1054:F1054"/>
    <mergeCell ref="D1055:F1055"/>
    <mergeCell ref="D1056:E1056"/>
    <mergeCell ref="D1057:E1057"/>
    <mergeCell ref="D1058:E1058"/>
    <mergeCell ref="D1059:E1059"/>
    <mergeCell ref="D1048:F1048"/>
    <mergeCell ref="D1049:F1049"/>
    <mergeCell ref="D1050:F1050"/>
    <mergeCell ref="D1051:F1051"/>
    <mergeCell ref="D1052:F1052"/>
    <mergeCell ref="D1053:F1053"/>
    <mergeCell ref="D1042:F1042"/>
    <mergeCell ref="D1043:F1043"/>
    <mergeCell ref="D1044:F1044"/>
    <mergeCell ref="D1045:F1045"/>
    <mergeCell ref="D1046:F1046"/>
    <mergeCell ref="D1047:F1047"/>
    <mergeCell ref="D1036:F1036"/>
    <mergeCell ref="D1037:F1037"/>
    <mergeCell ref="D1038:F1038"/>
    <mergeCell ref="D1039:F1039"/>
    <mergeCell ref="D1040:F1040"/>
    <mergeCell ref="D1041:F1041"/>
    <mergeCell ref="D1030:F1030"/>
    <mergeCell ref="D1031:F1031"/>
    <mergeCell ref="D1032:F1032"/>
    <mergeCell ref="D1033:F1033"/>
    <mergeCell ref="D1034:F1034"/>
    <mergeCell ref="D1035:F1035"/>
    <mergeCell ref="D1024:F1024"/>
    <mergeCell ref="D1025:F1025"/>
    <mergeCell ref="D1026:F1026"/>
    <mergeCell ref="D1027:F1027"/>
    <mergeCell ref="D1028:F1028"/>
    <mergeCell ref="D1029:F1029"/>
    <mergeCell ref="D1018:F1018"/>
    <mergeCell ref="D1019:F1019"/>
    <mergeCell ref="D1020:F1020"/>
    <mergeCell ref="D1021:F1021"/>
    <mergeCell ref="D1022:F1022"/>
    <mergeCell ref="D1023:F1023"/>
    <mergeCell ref="D1012:F1012"/>
    <mergeCell ref="D1013:F1013"/>
    <mergeCell ref="D1014:F1014"/>
    <mergeCell ref="D1015:F1015"/>
    <mergeCell ref="D1016:F1016"/>
    <mergeCell ref="D1017:F1017"/>
    <mergeCell ref="D1006:F1006"/>
    <mergeCell ref="D1007:F1007"/>
    <mergeCell ref="D1008:F1008"/>
    <mergeCell ref="D1009:F1009"/>
    <mergeCell ref="D1010:F1010"/>
    <mergeCell ref="D1011:F1011"/>
    <mergeCell ref="D1000:F1000"/>
    <mergeCell ref="D1001:F1001"/>
    <mergeCell ref="D1002:F1002"/>
    <mergeCell ref="D1003:F1003"/>
    <mergeCell ref="D1004:F1004"/>
    <mergeCell ref="D1005:F1005"/>
    <mergeCell ref="D994:F994"/>
    <mergeCell ref="D995:F995"/>
    <mergeCell ref="D996:F996"/>
    <mergeCell ref="D997:F997"/>
    <mergeCell ref="D998:F998"/>
    <mergeCell ref="D999:F999"/>
    <mergeCell ref="D988:F988"/>
    <mergeCell ref="D989:F989"/>
    <mergeCell ref="D990:F990"/>
    <mergeCell ref="D991:F991"/>
    <mergeCell ref="D992:F992"/>
    <mergeCell ref="D993:F993"/>
    <mergeCell ref="D982:F982"/>
    <mergeCell ref="D983:E983"/>
    <mergeCell ref="D984:F984"/>
    <mergeCell ref="D985:F985"/>
    <mergeCell ref="D986:F986"/>
    <mergeCell ref="D987:E987"/>
    <mergeCell ref="D976:F976"/>
    <mergeCell ref="D977:F977"/>
    <mergeCell ref="D978:F978"/>
    <mergeCell ref="D979:F979"/>
    <mergeCell ref="D980:F980"/>
    <mergeCell ref="D981:F981"/>
    <mergeCell ref="D970:F970"/>
    <mergeCell ref="D971:F971"/>
    <mergeCell ref="D972:F972"/>
    <mergeCell ref="D973:F973"/>
    <mergeCell ref="D974:F974"/>
    <mergeCell ref="D975:F975"/>
    <mergeCell ref="D964:F964"/>
    <mergeCell ref="D965:F965"/>
    <mergeCell ref="D966:F966"/>
    <mergeCell ref="D967:F967"/>
    <mergeCell ref="D968:F968"/>
    <mergeCell ref="D969:F969"/>
    <mergeCell ref="D958:F958"/>
    <mergeCell ref="D959:F959"/>
    <mergeCell ref="D960:F960"/>
    <mergeCell ref="D961:F961"/>
    <mergeCell ref="D962:F962"/>
    <mergeCell ref="D963:F963"/>
    <mergeCell ref="D952:F952"/>
    <mergeCell ref="D953:F953"/>
    <mergeCell ref="D954:F954"/>
    <mergeCell ref="D955:F955"/>
    <mergeCell ref="D956:F956"/>
    <mergeCell ref="D957:F957"/>
    <mergeCell ref="D946:F946"/>
    <mergeCell ref="D947:F947"/>
    <mergeCell ref="D948:F948"/>
    <mergeCell ref="D949:F949"/>
    <mergeCell ref="D950:F950"/>
    <mergeCell ref="D951:F951"/>
    <mergeCell ref="D940:F940"/>
    <mergeCell ref="D941:F941"/>
    <mergeCell ref="D942:F942"/>
    <mergeCell ref="D943:F943"/>
    <mergeCell ref="D944:F944"/>
    <mergeCell ref="D945:F945"/>
    <mergeCell ref="D934:F934"/>
    <mergeCell ref="D935:E935"/>
    <mergeCell ref="D936:E936"/>
    <mergeCell ref="D937:E937"/>
    <mergeCell ref="D938:F938"/>
    <mergeCell ref="D939:F939"/>
    <mergeCell ref="D928:E928"/>
    <mergeCell ref="D929:F929"/>
    <mergeCell ref="D930:F930"/>
    <mergeCell ref="D931:F931"/>
    <mergeCell ref="D932:F932"/>
    <mergeCell ref="D933:F933"/>
    <mergeCell ref="D922:F922"/>
    <mergeCell ref="D923:F923"/>
    <mergeCell ref="D924:E924"/>
    <mergeCell ref="D925:F925"/>
    <mergeCell ref="D926:F926"/>
    <mergeCell ref="D927:F927"/>
    <mergeCell ref="D916:E916"/>
    <mergeCell ref="D917:F917"/>
    <mergeCell ref="D918:F918"/>
    <mergeCell ref="D919:F919"/>
    <mergeCell ref="D920:E920"/>
    <mergeCell ref="D921:F921"/>
    <mergeCell ref="D910:E910"/>
    <mergeCell ref="D911:F911"/>
    <mergeCell ref="D912:F912"/>
    <mergeCell ref="D913:E913"/>
    <mergeCell ref="D914:F914"/>
    <mergeCell ref="D915:F915"/>
    <mergeCell ref="D904:F904"/>
    <mergeCell ref="D905:F905"/>
    <mergeCell ref="D906:F906"/>
    <mergeCell ref="D907:F907"/>
    <mergeCell ref="D908:F908"/>
    <mergeCell ref="D909:F909"/>
    <mergeCell ref="D898:F898"/>
    <mergeCell ref="D899:F899"/>
    <mergeCell ref="D900:F900"/>
    <mergeCell ref="D901:E901"/>
    <mergeCell ref="D902:F902"/>
    <mergeCell ref="D903:F903"/>
    <mergeCell ref="D892:E892"/>
    <mergeCell ref="D893:E893"/>
    <mergeCell ref="D894:E894"/>
    <mergeCell ref="D895:F895"/>
    <mergeCell ref="D896:F896"/>
    <mergeCell ref="D897:F897"/>
    <mergeCell ref="D886:E886"/>
    <mergeCell ref="D887:F887"/>
    <mergeCell ref="D888:F888"/>
    <mergeCell ref="D889:E889"/>
    <mergeCell ref="D890:E890"/>
    <mergeCell ref="D891:F891"/>
    <mergeCell ref="D880:E880"/>
    <mergeCell ref="D881:F881"/>
    <mergeCell ref="D882:F882"/>
    <mergeCell ref="D883:F883"/>
    <mergeCell ref="D884:E884"/>
    <mergeCell ref="D885:E885"/>
    <mergeCell ref="D874:F874"/>
    <mergeCell ref="D875:E875"/>
    <mergeCell ref="D876:E876"/>
    <mergeCell ref="D877:E877"/>
    <mergeCell ref="D878:E878"/>
    <mergeCell ref="D879:E879"/>
    <mergeCell ref="D868:F868"/>
    <mergeCell ref="D869:F869"/>
    <mergeCell ref="D870:E870"/>
    <mergeCell ref="D871:F871"/>
    <mergeCell ref="D872:F872"/>
    <mergeCell ref="D873:F873"/>
    <mergeCell ref="D862:F862"/>
    <mergeCell ref="D863:F863"/>
    <mergeCell ref="D864:F864"/>
    <mergeCell ref="D865:F865"/>
    <mergeCell ref="D866:F866"/>
    <mergeCell ref="D867:F867"/>
    <mergeCell ref="D856:E856"/>
    <mergeCell ref="D857:E857"/>
    <mergeCell ref="D858:E858"/>
    <mergeCell ref="D859:E859"/>
    <mergeCell ref="D860:F860"/>
    <mergeCell ref="D861:F861"/>
    <mergeCell ref="D850:F850"/>
    <mergeCell ref="D851:F851"/>
    <mergeCell ref="D852:F852"/>
    <mergeCell ref="D853:F853"/>
    <mergeCell ref="D854:F854"/>
    <mergeCell ref="D855:F855"/>
    <mergeCell ref="D844:F844"/>
    <mergeCell ref="D845:F845"/>
    <mergeCell ref="D846:F846"/>
    <mergeCell ref="D847:F847"/>
    <mergeCell ref="D848:F848"/>
    <mergeCell ref="D849:E849"/>
    <mergeCell ref="D838:F838"/>
    <mergeCell ref="D839:F839"/>
    <mergeCell ref="D840:E840"/>
    <mergeCell ref="D841:F841"/>
    <mergeCell ref="D842:F842"/>
    <mergeCell ref="D843:F843"/>
    <mergeCell ref="D832:F832"/>
    <mergeCell ref="D833:F833"/>
    <mergeCell ref="D834:F834"/>
    <mergeCell ref="D835:E835"/>
    <mergeCell ref="D836:F836"/>
    <mergeCell ref="D837:F837"/>
    <mergeCell ref="D826:F826"/>
    <mergeCell ref="D827:F827"/>
    <mergeCell ref="D828:F828"/>
    <mergeCell ref="D829:F829"/>
    <mergeCell ref="D830:F830"/>
    <mergeCell ref="D831:F831"/>
    <mergeCell ref="D820:F820"/>
    <mergeCell ref="D821:F821"/>
    <mergeCell ref="D822:E822"/>
    <mergeCell ref="D823:E823"/>
    <mergeCell ref="D824:E824"/>
    <mergeCell ref="D825:F825"/>
    <mergeCell ref="D814:E814"/>
    <mergeCell ref="D815:F815"/>
    <mergeCell ref="D816:F816"/>
    <mergeCell ref="D817:F817"/>
    <mergeCell ref="D818:E818"/>
    <mergeCell ref="D819:F819"/>
    <mergeCell ref="D808:F808"/>
    <mergeCell ref="D809:F809"/>
    <mergeCell ref="D810:E810"/>
    <mergeCell ref="D811:F811"/>
    <mergeCell ref="D812:F812"/>
    <mergeCell ref="D813:E813"/>
    <mergeCell ref="D802:F802"/>
    <mergeCell ref="D803:F803"/>
    <mergeCell ref="D804:E804"/>
    <mergeCell ref="D805:F805"/>
    <mergeCell ref="D806:F806"/>
    <mergeCell ref="D807:F807"/>
    <mergeCell ref="D796:E796"/>
    <mergeCell ref="D797:E797"/>
    <mergeCell ref="D798:E798"/>
    <mergeCell ref="D799:F799"/>
    <mergeCell ref="D800:E800"/>
    <mergeCell ref="D801:E801"/>
    <mergeCell ref="D790:F790"/>
    <mergeCell ref="D791:F791"/>
    <mergeCell ref="D792:F792"/>
    <mergeCell ref="D793:E793"/>
    <mergeCell ref="D794:E794"/>
    <mergeCell ref="D795:E795"/>
    <mergeCell ref="D784:F784"/>
    <mergeCell ref="D785:F785"/>
    <mergeCell ref="D786:F786"/>
    <mergeCell ref="D787:F787"/>
    <mergeCell ref="D788:E788"/>
    <mergeCell ref="D789:F789"/>
    <mergeCell ref="D778:E778"/>
    <mergeCell ref="D779:F779"/>
    <mergeCell ref="D780:F780"/>
    <mergeCell ref="D781:F781"/>
    <mergeCell ref="D782:F782"/>
    <mergeCell ref="D783:E783"/>
    <mergeCell ref="D772:F772"/>
    <mergeCell ref="D773:F773"/>
    <mergeCell ref="D774:F774"/>
    <mergeCell ref="D775:F775"/>
    <mergeCell ref="D776:F776"/>
    <mergeCell ref="D777:F777"/>
    <mergeCell ref="D766:F766"/>
    <mergeCell ref="D767:E767"/>
    <mergeCell ref="D768:E768"/>
    <mergeCell ref="D769:F769"/>
    <mergeCell ref="D770:F770"/>
    <mergeCell ref="D771:F771"/>
    <mergeCell ref="D760:F760"/>
    <mergeCell ref="D761:F761"/>
    <mergeCell ref="D762:F762"/>
    <mergeCell ref="D763:E763"/>
    <mergeCell ref="D764:F764"/>
    <mergeCell ref="D765:F765"/>
    <mergeCell ref="D754:F754"/>
    <mergeCell ref="D755:E755"/>
    <mergeCell ref="D756:F756"/>
    <mergeCell ref="D757:E757"/>
    <mergeCell ref="D758:E758"/>
    <mergeCell ref="D759:E759"/>
    <mergeCell ref="D748:E748"/>
    <mergeCell ref="D749:E749"/>
    <mergeCell ref="D750:F750"/>
    <mergeCell ref="D751:E751"/>
    <mergeCell ref="D752:F752"/>
    <mergeCell ref="D753:E753"/>
    <mergeCell ref="D742:E742"/>
    <mergeCell ref="D743:F743"/>
    <mergeCell ref="D744:E744"/>
    <mergeCell ref="D745:F745"/>
    <mergeCell ref="D746:E746"/>
    <mergeCell ref="D747:E747"/>
    <mergeCell ref="D736:F736"/>
    <mergeCell ref="D737:E737"/>
    <mergeCell ref="D738:E738"/>
    <mergeCell ref="D739:E739"/>
    <mergeCell ref="D740:E740"/>
    <mergeCell ref="D741:F741"/>
    <mergeCell ref="D730:F730"/>
    <mergeCell ref="D731:E731"/>
    <mergeCell ref="D732:E732"/>
    <mergeCell ref="D733:E733"/>
    <mergeCell ref="D734:F734"/>
    <mergeCell ref="D735:E735"/>
    <mergeCell ref="D724:F724"/>
    <mergeCell ref="D725:E725"/>
    <mergeCell ref="D726:E726"/>
    <mergeCell ref="D727:E727"/>
    <mergeCell ref="D728:F728"/>
    <mergeCell ref="D729:E729"/>
    <mergeCell ref="D718:F718"/>
    <mergeCell ref="D719:F719"/>
    <mergeCell ref="D720:E720"/>
    <mergeCell ref="D721:E721"/>
    <mergeCell ref="D722:F722"/>
    <mergeCell ref="D723:E723"/>
    <mergeCell ref="D712:F712"/>
    <mergeCell ref="D713:F713"/>
    <mergeCell ref="D714:F714"/>
    <mergeCell ref="D715:F715"/>
    <mergeCell ref="D716:E716"/>
    <mergeCell ref="D717:F717"/>
    <mergeCell ref="D706:F706"/>
    <mergeCell ref="D707:F707"/>
    <mergeCell ref="D708:F708"/>
    <mergeCell ref="D709:F709"/>
    <mergeCell ref="D710:F710"/>
    <mergeCell ref="D711:E711"/>
    <mergeCell ref="D700:F700"/>
    <mergeCell ref="D701:F701"/>
    <mergeCell ref="D702:F702"/>
    <mergeCell ref="D703:F703"/>
    <mergeCell ref="D704:F704"/>
    <mergeCell ref="D705:F705"/>
    <mergeCell ref="D694:E694"/>
    <mergeCell ref="D695:F695"/>
    <mergeCell ref="D696:F696"/>
    <mergeCell ref="D697:F697"/>
    <mergeCell ref="D698:F698"/>
    <mergeCell ref="D699:F699"/>
    <mergeCell ref="D688:E688"/>
    <mergeCell ref="D689:F689"/>
    <mergeCell ref="D690:F690"/>
    <mergeCell ref="D691:F691"/>
    <mergeCell ref="D692:F692"/>
    <mergeCell ref="D693:F693"/>
    <mergeCell ref="D682:F682"/>
    <mergeCell ref="D683:F683"/>
    <mergeCell ref="D684:F684"/>
    <mergeCell ref="D685:F685"/>
    <mergeCell ref="D686:F686"/>
    <mergeCell ref="D687:F687"/>
    <mergeCell ref="D676:F676"/>
    <mergeCell ref="D677:F677"/>
    <mergeCell ref="D678:F678"/>
    <mergeCell ref="D679:E679"/>
    <mergeCell ref="D680:F680"/>
    <mergeCell ref="D681:F681"/>
    <mergeCell ref="D670:F670"/>
    <mergeCell ref="D671:F671"/>
    <mergeCell ref="D672:F672"/>
    <mergeCell ref="D673:E673"/>
    <mergeCell ref="D674:F674"/>
    <mergeCell ref="D675:F675"/>
    <mergeCell ref="D664:F664"/>
    <mergeCell ref="D665:F665"/>
    <mergeCell ref="D666:F666"/>
    <mergeCell ref="D667:F667"/>
    <mergeCell ref="D668:F668"/>
    <mergeCell ref="D669:F669"/>
    <mergeCell ref="D658:F658"/>
    <mergeCell ref="D659:E659"/>
    <mergeCell ref="D660:F660"/>
    <mergeCell ref="D661:F661"/>
    <mergeCell ref="D662:F662"/>
    <mergeCell ref="D663:F663"/>
    <mergeCell ref="D652:F652"/>
    <mergeCell ref="D653:F653"/>
    <mergeCell ref="D654:F654"/>
    <mergeCell ref="D655:E655"/>
    <mergeCell ref="D656:F656"/>
    <mergeCell ref="D657:F657"/>
    <mergeCell ref="D646:E646"/>
    <mergeCell ref="D647:E647"/>
    <mergeCell ref="D648:F648"/>
    <mergeCell ref="D649:F649"/>
    <mergeCell ref="D650:F650"/>
    <mergeCell ref="D651:E651"/>
    <mergeCell ref="D640:F640"/>
    <mergeCell ref="D641:F641"/>
    <mergeCell ref="D642:F642"/>
    <mergeCell ref="D643:F643"/>
    <mergeCell ref="D644:E644"/>
    <mergeCell ref="D645:E645"/>
    <mergeCell ref="D634:F634"/>
    <mergeCell ref="D635:F635"/>
    <mergeCell ref="D636:F636"/>
    <mergeCell ref="D637:F637"/>
    <mergeCell ref="D638:E638"/>
    <mergeCell ref="D639:F639"/>
    <mergeCell ref="D628:F628"/>
    <mergeCell ref="D629:F629"/>
    <mergeCell ref="D630:F630"/>
    <mergeCell ref="D631:F631"/>
    <mergeCell ref="D632:E632"/>
    <mergeCell ref="D633:F633"/>
    <mergeCell ref="D622:F622"/>
    <mergeCell ref="D623:F623"/>
    <mergeCell ref="D624:F624"/>
    <mergeCell ref="D625:F625"/>
    <mergeCell ref="D626:E626"/>
    <mergeCell ref="D627:F627"/>
    <mergeCell ref="D616:F616"/>
    <mergeCell ref="D617:F617"/>
    <mergeCell ref="D618:F618"/>
    <mergeCell ref="D619:F619"/>
    <mergeCell ref="D620:E620"/>
    <mergeCell ref="D621:F621"/>
    <mergeCell ref="D610:F610"/>
    <mergeCell ref="D611:F611"/>
    <mergeCell ref="D612:F612"/>
    <mergeCell ref="D613:F613"/>
    <mergeCell ref="D614:E614"/>
    <mergeCell ref="D615:F615"/>
    <mergeCell ref="D604:E604"/>
    <mergeCell ref="D605:E605"/>
    <mergeCell ref="D606:E606"/>
    <mergeCell ref="D607:E607"/>
    <mergeCell ref="D608:E608"/>
    <mergeCell ref="D609:F609"/>
    <mergeCell ref="D598:F598"/>
    <mergeCell ref="D599:E599"/>
    <mergeCell ref="D600:F600"/>
    <mergeCell ref="D601:E601"/>
    <mergeCell ref="D602:E602"/>
    <mergeCell ref="D603:E603"/>
    <mergeCell ref="D592:F592"/>
    <mergeCell ref="D593:E593"/>
    <mergeCell ref="D594:E594"/>
    <mergeCell ref="D595:E595"/>
    <mergeCell ref="D596:F596"/>
    <mergeCell ref="D597:E597"/>
    <mergeCell ref="D586:F586"/>
    <mergeCell ref="D587:F587"/>
    <mergeCell ref="D588:F588"/>
    <mergeCell ref="D589:E589"/>
    <mergeCell ref="D590:F590"/>
    <mergeCell ref="D591:F591"/>
    <mergeCell ref="D580:F580"/>
    <mergeCell ref="D581:F581"/>
    <mergeCell ref="D582:F582"/>
    <mergeCell ref="D583:F583"/>
    <mergeCell ref="D584:F584"/>
    <mergeCell ref="D585:E585"/>
    <mergeCell ref="D574:F574"/>
    <mergeCell ref="D575:F575"/>
    <mergeCell ref="D576:F576"/>
    <mergeCell ref="D577:F577"/>
    <mergeCell ref="D578:E578"/>
    <mergeCell ref="D579:F579"/>
    <mergeCell ref="D568:F568"/>
    <mergeCell ref="D569:F569"/>
    <mergeCell ref="D570:F570"/>
    <mergeCell ref="D571:E571"/>
    <mergeCell ref="D572:F572"/>
    <mergeCell ref="D573:F573"/>
    <mergeCell ref="D562:F562"/>
    <mergeCell ref="D563:F563"/>
    <mergeCell ref="D564:F564"/>
    <mergeCell ref="D565:F565"/>
    <mergeCell ref="D566:F566"/>
    <mergeCell ref="D567:E567"/>
    <mergeCell ref="D556:F556"/>
    <mergeCell ref="D557:F557"/>
    <mergeCell ref="D558:E558"/>
    <mergeCell ref="D559:E559"/>
    <mergeCell ref="D560:E560"/>
    <mergeCell ref="D561:F561"/>
    <mergeCell ref="D550:F550"/>
    <mergeCell ref="D551:F551"/>
    <mergeCell ref="D552:F552"/>
    <mergeCell ref="D553:F553"/>
    <mergeCell ref="D554:F554"/>
    <mergeCell ref="D555:E555"/>
    <mergeCell ref="D544:F544"/>
    <mergeCell ref="D545:F545"/>
    <mergeCell ref="D546:E546"/>
    <mergeCell ref="D547:F547"/>
    <mergeCell ref="D548:F548"/>
    <mergeCell ref="D549:F549"/>
    <mergeCell ref="D538:E538"/>
    <mergeCell ref="D539:F539"/>
    <mergeCell ref="D540:F540"/>
    <mergeCell ref="D541:F541"/>
    <mergeCell ref="D542:F542"/>
    <mergeCell ref="D543:E543"/>
    <mergeCell ref="D532:F532"/>
    <mergeCell ref="D533:E533"/>
    <mergeCell ref="D534:F534"/>
    <mergeCell ref="D535:F535"/>
    <mergeCell ref="D536:F536"/>
    <mergeCell ref="D537:F537"/>
    <mergeCell ref="D526:F526"/>
    <mergeCell ref="D527:E527"/>
    <mergeCell ref="D528:F528"/>
    <mergeCell ref="D529:E529"/>
    <mergeCell ref="D530:F530"/>
    <mergeCell ref="D531:F531"/>
    <mergeCell ref="D520:F520"/>
    <mergeCell ref="D521:F521"/>
    <mergeCell ref="D522:F522"/>
    <mergeCell ref="D523:E523"/>
    <mergeCell ref="D524:F524"/>
    <mergeCell ref="D525:F525"/>
    <mergeCell ref="D514:E514"/>
    <mergeCell ref="D515:F515"/>
    <mergeCell ref="D516:F516"/>
    <mergeCell ref="D517:F517"/>
    <mergeCell ref="D518:E518"/>
    <mergeCell ref="D519:F519"/>
    <mergeCell ref="D508:F508"/>
    <mergeCell ref="D509:E509"/>
    <mergeCell ref="D510:F510"/>
    <mergeCell ref="D511:F511"/>
    <mergeCell ref="D512:F512"/>
    <mergeCell ref="D513:F513"/>
    <mergeCell ref="D502:E502"/>
    <mergeCell ref="D503:E503"/>
    <mergeCell ref="D504:E504"/>
    <mergeCell ref="D505:E505"/>
    <mergeCell ref="D506:F506"/>
    <mergeCell ref="D507:F507"/>
    <mergeCell ref="D496:F496"/>
    <mergeCell ref="D497:E497"/>
    <mergeCell ref="D498:E498"/>
    <mergeCell ref="D499:E499"/>
    <mergeCell ref="D500:E500"/>
    <mergeCell ref="D501:E501"/>
    <mergeCell ref="D490:E490"/>
    <mergeCell ref="D491:F491"/>
    <mergeCell ref="D492:F492"/>
    <mergeCell ref="D493:F493"/>
    <mergeCell ref="D494:E494"/>
    <mergeCell ref="D495:E495"/>
    <mergeCell ref="D484:F484"/>
    <mergeCell ref="D485:F485"/>
    <mergeCell ref="D486:F486"/>
    <mergeCell ref="D487:F487"/>
    <mergeCell ref="D488:F488"/>
    <mergeCell ref="D489:F489"/>
    <mergeCell ref="D478:F478"/>
    <mergeCell ref="D479:F479"/>
    <mergeCell ref="D480:F480"/>
    <mergeCell ref="D481:E481"/>
    <mergeCell ref="D482:F482"/>
    <mergeCell ref="D483:F483"/>
    <mergeCell ref="D472:F472"/>
    <mergeCell ref="D473:F473"/>
    <mergeCell ref="D474:F474"/>
    <mergeCell ref="D475:F475"/>
    <mergeCell ref="D476:E476"/>
    <mergeCell ref="D477:F477"/>
    <mergeCell ref="D466:F466"/>
    <mergeCell ref="D467:E467"/>
    <mergeCell ref="D468:F468"/>
    <mergeCell ref="D469:F469"/>
    <mergeCell ref="D470:F470"/>
    <mergeCell ref="D471:E471"/>
    <mergeCell ref="D460:F460"/>
    <mergeCell ref="D461:F461"/>
    <mergeCell ref="D462:F462"/>
    <mergeCell ref="D463:E463"/>
    <mergeCell ref="D464:F464"/>
    <mergeCell ref="D465:F465"/>
    <mergeCell ref="D454:F454"/>
    <mergeCell ref="D455:E455"/>
    <mergeCell ref="D456:F456"/>
    <mergeCell ref="D457:F457"/>
    <mergeCell ref="D458:F458"/>
    <mergeCell ref="D459:E459"/>
    <mergeCell ref="D448:F448"/>
    <mergeCell ref="D449:E449"/>
    <mergeCell ref="D450:E450"/>
    <mergeCell ref="D451:E451"/>
    <mergeCell ref="D452:F452"/>
    <mergeCell ref="D453:F453"/>
    <mergeCell ref="D442:F442"/>
    <mergeCell ref="D443:F443"/>
    <mergeCell ref="D444:E444"/>
    <mergeCell ref="D445:F445"/>
    <mergeCell ref="D446:F446"/>
    <mergeCell ref="D447:F447"/>
    <mergeCell ref="D436:F436"/>
    <mergeCell ref="D437:F437"/>
    <mergeCell ref="D438:F438"/>
    <mergeCell ref="D439:E439"/>
    <mergeCell ref="D440:F440"/>
    <mergeCell ref="D441:F441"/>
    <mergeCell ref="D430:F430"/>
    <mergeCell ref="D431:F431"/>
    <mergeCell ref="D432:F432"/>
    <mergeCell ref="D433:F433"/>
    <mergeCell ref="D434:E434"/>
    <mergeCell ref="D435:F435"/>
    <mergeCell ref="D424:F424"/>
    <mergeCell ref="D425:F425"/>
    <mergeCell ref="D426:F426"/>
    <mergeCell ref="D427:F427"/>
    <mergeCell ref="D428:E428"/>
    <mergeCell ref="D429:E429"/>
    <mergeCell ref="D418:F418"/>
    <mergeCell ref="D419:E419"/>
    <mergeCell ref="D420:F420"/>
    <mergeCell ref="D421:F421"/>
    <mergeCell ref="D422:F422"/>
    <mergeCell ref="D423:E423"/>
    <mergeCell ref="D412:F412"/>
    <mergeCell ref="D413:F413"/>
    <mergeCell ref="D414:F414"/>
    <mergeCell ref="D415:E415"/>
    <mergeCell ref="D416:F416"/>
    <mergeCell ref="D417:F417"/>
    <mergeCell ref="D406:F406"/>
    <mergeCell ref="D407:E407"/>
    <mergeCell ref="D408:F408"/>
    <mergeCell ref="D409:F409"/>
    <mergeCell ref="D410:F410"/>
    <mergeCell ref="D411:E411"/>
    <mergeCell ref="D400:F400"/>
    <mergeCell ref="D401:F401"/>
    <mergeCell ref="D402:F402"/>
    <mergeCell ref="D403:E403"/>
    <mergeCell ref="D404:F404"/>
    <mergeCell ref="D405:F405"/>
    <mergeCell ref="D394:E394"/>
    <mergeCell ref="D395:F395"/>
    <mergeCell ref="D396:F396"/>
    <mergeCell ref="D397:F397"/>
    <mergeCell ref="D398:E398"/>
    <mergeCell ref="D399:E399"/>
    <mergeCell ref="D388:F388"/>
    <mergeCell ref="D389:F389"/>
    <mergeCell ref="D390:E390"/>
    <mergeCell ref="D391:F391"/>
    <mergeCell ref="D392:F392"/>
    <mergeCell ref="D393:F393"/>
    <mergeCell ref="D382:F382"/>
    <mergeCell ref="D383:F383"/>
    <mergeCell ref="D384:F384"/>
    <mergeCell ref="D385:E385"/>
    <mergeCell ref="D386:E386"/>
    <mergeCell ref="D387:F387"/>
    <mergeCell ref="D376:F376"/>
    <mergeCell ref="D377:E377"/>
    <mergeCell ref="D378:F378"/>
    <mergeCell ref="D379:F379"/>
    <mergeCell ref="D380:F380"/>
    <mergeCell ref="D381:F381"/>
    <mergeCell ref="D370:F370"/>
    <mergeCell ref="D371:E371"/>
    <mergeCell ref="D372:F372"/>
    <mergeCell ref="D373:F373"/>
    <mergeCell ref="D374:F374"/>
    <mergeCell ref="D375:F375"/>
    <mergeCell ref="D364:F364"/>
    <mergeCell ref="D365:F365"/>
    <mergeCell ref="D366:F366"/>
    <mergeCell ref="D367:F367"/>
    <mergeCell ref="D368:F368"/>
    <mergeCell ref="D369:F369"/>
    <mergeCell ref="D358:F358"/>
    <mergeCell ref="D359:F359"/>
    <mergeCell ref="D360:F360"/>
    <mergeCell ref="D361:F361"/>
    <mergeCell ref="D362:F362"/>
    <mergeCell ref="D363:F363"/>
    <mergeCell ref="D352:E352"/>
    <mergeCell ref="D353:F353"/>
    <mergeCell ref="D354:F354"/>
    <mergeCell ref="D355:F355"/>
    <mergeCell ref="D356:E356"/>
    <mergeCell ref="D357:F357"/>
    <mergeCell ref="D346:F346"/>
    <mergeCell ref="D347:F347"/>
    <mergeCell ref="D348:F348"/>
    <mergeCell ref="D349:E349"/>
    <mergeCell ref="D350:F350"/>
    <mergeCell ref="D351:F351"/>
    <mergeCell ref="D340:E340"/>
    <mergeCell ref="D341:F341"/>
    <mergeCell ref="D342:F342"/>
    <mergeCell ref="D343:F343"/>
    <mergeCell ref="D344:E344"/>
    <mergeCell ref="D345:F345"/>
    <mergeCell ref="D334:F334"/>
    <mergeCell ref="D335:F335"/>
    <mergeCell ref="D336:F336"/>
    <mergeCell ref="D337:F337"/>
    <mergeCell ref="D338:F338"/>
    <mergeCell ref="D339:F339"/>
    <mergeCell ref="D328:E328"/>
    <mergeCell ref="D329:F329"/>
    <mergeCell ref="D330:F330"/>
    <mergeCell ref="D331:F331"/>
    <mergeCell ref="D332:F332"/>
    <mergeCell ref="D333:F333"/>
    <mergeCell ref="D322:E322"/>
    <mergeCell ref="D323:F323"/>
    <mergeCell ref="D324:F324"/>
    <mergeCell ref="D325:F325"/>
    <mergeCell ref="D326:F326"/>
    <mergeCell ref="D327:F327"/>
    <mergeCell ref="D316:F316"/>
    <mergeCell ref="D317:E317"/>
    <mergeCell ref="D318:F318"/>
    <mergeCell ref="D319:F319"/>
    <mergeCell ref="D320:F320"/>
    <mergeCell ref="D321:F321"/>
    <mergeCell ref="D310:F310"/>
    <mergeCell ref="D311:F311"/>
    <mergeCell ref="D312:F312"/>
    <mergeCell ref="D313:F313"/>
    <mergeCell ref="D314:F314"/>
    <mergeCell ref="D315:F315"/>
    <mergeCell ref="D304:F304"/>
    <mergeCell ref="D305:F305"/>
    <mergeCell ref="D306:F306"/>
    <mergeCell ref="D307:F307"/>
    <mergeCell ref="D308:F308"/>
    <mergeCell ref="D309:F309"/>
    <mergeCell ref="D298:F298"/>
    <mergeCell ref="D299:F299"/>
    <mergeCell ref="D300:F300"/>
    <mergeCell ref="D301:F301"/>
    <mergeCell ref="D302:E302"/>
    <mergeCell ref="D303:F303"/>
    <mergeCell ref="D292:F292"/>
    <mergeCell ref="D293:F293"/>
    <mergeCell ref="D294:F294"/>
    <mergeCell ref="D295:F295"/>
    <mergeCell ref="D296:F296"/>
    <mergeCell ref="D297:F297"/>
    <mergeCell ref="D286:F286"/>
    <mergeCell ref="D287:F287"/>
    <mergeCell ref="D288:E288"/>
    <mergeCell ref="D289:F289"/>
    <mergeCell ref="D290:F290"/>
    <mergeCell ref="D291:F291"/>
    <mergeCell ref="D280:F280"/>
    <mergeCell ref="D281:F281"/>
    <mergeCell ref="D282:F282"/>
    <mergeCell ref="D283:F283"/>
    <mergeCell ref="D284:F284"/>
    <mergeCell ref="D285:F285"/>
    <mergeCell ref="D274:F274"/>
    <mergeCell ref="D275:F275"/>
    <mergeCell ref="D276:F276"/>
    <mergeCell ref="D277:F277"/>
    <mergeCell ref="D278:F278"/>
    <mergeCell ref="D279:F279"/>
    <mergeCell ref="D268:F268"/>
    <mergeCell ref="D269:F269"/>
    <mergeCell ref="D270:F270"/>
    <mergeCell ref="D271:F271"/>
    <mergeCell ref="D272:F272"/>
    <mergeCell ref="D273:F273"/>
    <mergeCell ref="D262:F262"/>
    <mergeCell ref="D263:F263"/>
    <mergeCell ref="D264:E264"/>
    <mergeCell ref="D265:F265"/>
    <mergeCell ref="D266:F266"/>
    <mergeCell ref="D267:F267"/>
    <mergeCell ref="D256:F256"/>
    <mergeCell ref="D257:F257"/>
    <mergeCell ref="D258:F258"/>
    <mergeCell ref="D259:F259"/>
    <mergeCell ref="D260:F260"/>
    <mergeCell ref="D261:F261"/>
    <mergeCell ref="D250:F250"/>
    <mergeCell ref="D251:F251"/>
    <mergeCell ref="D252:F252"/>
    <mergeCell ref="D253:F253"/>
    <mergeCell ref="D254:F254"/>
    <mergeCell ref="D255:F255"/>
    <mergeCell ref="D244:F244"/>
    <mergeCell ref="D245:F245"/>
    <mergeCell ref="D246:F246"/>
    <mergeCell ref="D247:F247"/>
    <mergeCell ref="D248:F248"/>
    <mergeCell ref="D249:F249"/>
    <mergeCell ref="D238:F238"/>
    <mergeCell ref="D239:F239"/>
    <mergeCell ref="D240:F240"/>
    <mergeCell ref="D241:F241"/>
    <mergeCell ref="D242:F242"/>
    <mergeCell ref="D243:F243"/>
    <mergeCell ref="D232:F232"/>
    <mergeCell ref="D233:F233"/>
    <mergeCell ref="D234:F234"/>
    <mergeCell ref="D235:F235"/>
    <mergeCell ref="D236:F236"/>
    <mergeCell ref="D237:F237"/>
    <mergeCell ref="D226:F226"/>
    <mergeCell ref="D227:F227"/>
    <mergeCell ref="D228:E228"/>
    <mergeCell ref="D229:F229"/>
    <mergeCell ref="D230:F230"/>
    <mergeCell ref="D231:F231"/>
    <mergeCell ref="D220:F220"/>
    <mergeCell ref="D221:F221"/>
    <mergeCell ref="D222:F222"/>
    <mergeCell ref="D223:F223"/>
    <mergeCell ref="D224:F224"/>
    <mergeCell ref="D225:F225"/>
    <mergeCell ref="D214:E214"/>
    <mergeCell ref="D215:F215"/>
    <mergeCell ref="D216:F216"/>
    <mergeCell ref="D217:F217"/>
    <mergeCell ref="D218:F218"/>
    <mergeCell ref="D219:F219"/>
    <mergeCell ref="D208:F208"/>
    <mergeCell ref="D209:F209"/>
    <mergeCell ref="D210:F210"/>
    <mergeCell ref="D211:F211"/>
    <mergeCell ref="D212:F212"/>
    <mergeCell ref="D213:F213"/>
    <mergeCell ref="D202:F202"/>
    <mergeCell ref="D203:F203"/>
    <mergeCell ref="D204:F204"/>
    <mergeCell ref="D205:F205"/>
    <mergeCell ref="D206:F206"/>
    <mergeCell ref="D207:F207"/>
    <mergeCell ref="D196:F196"/>
    <mergeCell ref="D197:F197"/>
    <mergeCell ref="D198:F198"/>
    <mergeCell ref="D199:F199"/>
    <mergeCell ref="D200:F200"/>
    <mergeCell ref="D201:E201"/>
    <mergeCell ref="D190:F190"/>
    <mergeCell ref="D191:E191"/>
    <mergeCell ref="D192:F192"/>
    <mergeCell ref="D193:F193"/>
    <mergeCell ref="D194:F194"/>
    <mergeCell ref="D195:F195"/>
    <mergeCell ref="D184:F184"/>
    <mergeCell ref="D185:E185"/>
    <mergeCell ref="D186:F186"/>
    <mergeCell ref="D187:F187"/>
    <mergeCell ref="D188:E188"/>
    <mergeCell ref="D189:F189"/>
    <mergeCell ref="D178:F178"/>
    <mergeCell ref="D179:F179"/>
    <mergeCell ref="D180:F180"/>
    <mergeCell ref="D181:F181"/>
    <mergeCell ref="D182:F182"/>
    <mergeCell ref="D183:F183"/>
    <mergeCell ref="D172:F172"/>
    <mergeCell ref="D173:F173"/>
    <mergeCell ref="D174:F174"/>
    <mergeCell ref="D175:F175"/>
    <mergeCell ref="D176:F176"/>
    <mergeCell ref="D177:F177"/>
    <mergeCell ref="D166:F166"/>
    <mergeCell ref="D167:F167"/>
    <mergeCell ref="D168:F168"/>
    <mergeCell ref="D169:F169"/>
    <mergeCell ref="D170:F170"/>
    <mergeCell ref="D171:F171"/>
    <mergeCell ref="D160:F160"/>
    <mergeCell ref="D161:F161"/>
    <mergeCell ref="D162:F162"/>
    <mergeCell ref="D163:F163"/>
    <mergeCell ref="D164:E164"/>
    <mergeCell ref="D165:E165"/>
    <mergeCell ref="D154:F154"/>
    <mergeCell ref="D155:F155"/>
    <mergeCell ref="D156:F156"/>
    <mergeCell ref="D157:F157"/>
    <mergeCell ref="D158:F158"/>
    <mergeCell ref="D159:F159"/>
    <mergeCell ref="D148:F148"/>
    <mergeCell ref="D149:F149"/>
    <mergeCell ref="D150:F150"/>
    <mergeCell ref="D151:F151"/>
    <mergeCell ref="D152:F152"/>
    <mergeCell ref="D153:E153"/>
    <mergeCell ref="D142:F142"/>
    <mergeCell ref="D143:F143"/>
    <mergeCell ref="D144:F144"/>
    <mergeCell ref="D145:F145"/>
    <mergeCell ref="D146:F146"/>
    <mergeCell ref="D147:F147"/>
    <mergeCell ref="D136:E136"/>
    <mergeCell ref="D137:E137"/>
    <mergeCell ref="D138:F138"/>
    <mergeCell ref="D139:F139"/>
    <mergeCell ref="D140:F140"/>
    <mergeCell ref="D141:E141"/>
    <mergeCell ref="D130:F130"/>
    <mergeCell ref="D131:F131"/>
    <mergeCell ref="D132:F132"/>
    <mergeCell ref="D133:F133"/>
    <mergeCell ref="D134:F134"/>
    <mergeCell ref="D135:F135"/>
    <mergeCell ref="D124:E124"/>
    <mergeCell ref="D125:F125"/>
    <mergeCell ref="D126:F126"/>
    <mergeCell ref="D127:F127"/>
    <mergeCell ref="D128:F128"/>
    <mergeCell ref="D129:F129"/>
    <mergeCell ref="D118:F118"/>
    <mergeCell ref="D119:E119"/>
    <mergeCell ref="D120:E120"/>
    <mergeCell ref="D121:F121"/>
    <mergeCell ref="D122:F122"/>
    <mergeCell ref="D123:F123"/>
    <mergeCell ref="D112:E112"/>
    <mergeCell ref="D113:E113"/>
    <mergeCell ref="D114:E114"/>
    <mergeCell ref="D115:F115"/>
    <mergeCell ref="D116:F116"/>
    <mergeCell ref="D117:F117"/>
    <mergeCell ref="D106:E106"/>
    <mergeCell ref="D107:E107"/>
    <mergeCell ref="D108:E108"/>
    <mergeCell ref="D109:E109"/>
    <mergeCell ref="D110:E110"/>
    <mergeCell ref="D111:E111"/>
    <mergeCell ref="D100:E100"/>
    <mergeCell ref="D101:E101"/>
    <mergeCell ref="D102:E102"/>
    <mergeCell ref="D103:E103"/>
    <mergeCell ref="D104:E104"/>
    <mergeCell ref="D105:E105"/>
    <mergeCell ref="D94:E94"/>
    <mergeCell ref="D95:E95"/>
    <mergeCell ref="D96:E96"/>
    <mergeCell ref="D97:E97"/>
    <mergeCell ref="D98:E98"/>
    <mergeCell ref="D99:E99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76:E76"/>
    <mergeCell ref="D77:E77"/>
    <mergeCell ref="D78:E78"/>
    <mergeCell ref="D79:E79"/>
    <mergeCell ref="D80:E80"/>
    <mergeCell ref="D81:E81"/>
    <mergeCell ref="D70:E70"/>
    <mergeCell ref="D71:E71"/>
    <mergeCell ref="D72:E72"/>
    <mergeCell ref="D73:E73"/>
    <mergeCell ref="D74:E74"/>
    <mergeCell ref="D75:E75"/>
    <mergeCell ref="D64:E64"/>
    <mergeCell ref="D65:E65"/>
    <mergeCell ref="D66:E66"/>
    <mergeCell ref="D67:E67"/>
    <mergeCell ref="D68:E68"/>
    <mergeCell ref="D69:E69"/>
    <mergeCell ref="D58:E58"/>
    <mergeCell ref="D59:E59"/>
    <mergeCell ref="D60:E60"/>
    <mergeCell ref="D61:E61"/>
    <mergeCell ref="D62:E62"/>
    <mergeCell ref="D63:E63"/>
    <mergeCell ref="D52:E52"/>
    <mergeCell ref="D53:E53"/>
    <mergeCell ref="D54:E54"/>
    <mergeCell ref="D55:E55"/>
    <mergeCell ref="D56:E56"/>
    <mergeCell ref="D57:E57"/>
    <mergeCell ref="D46:E46"/>
    <mergeCell ref="D47:E47"/>
    <mergeCell ref="D48:E48"/>
    <mergeCell ref="D49:E49"/>
    <mergeCell ref="D50:E50"/>
    <mergeCell ref="D51:E51"/>
    <mergeCell ref="D40:E40"/>
    <mergeCell ref="D41:E41"/>
    <mergeCell ref="D42:E42"/>
    <mergeCell ref="D43:E43"/>
    <mergeCell ref="D44:E44"/>
    <mergeCell ref="D45:E45"/>
    <mergeCell ref="D34:E34"/>
    <mergeCell ref="D35:E35"/>
    <mergeCell ref="D36:E36"/>
    <mergeCell ref="D37:E37"/>
    <mergeCell ref="D38:E38"/>
    <mergeCell ref="D39:E39"/>
    <mergeCell ref="D28:E28"/>
    <mergeCell ref="D29:E29"/>
    <mergeCell ref="D30:E30"/>
    <mergeCell ref="D31:E31"/>
    <mergeCell ref="D32:E32"/>
    <mergeCell ref="D33:E33"/>
    <mergeCell ref="D22:E22"/>
    <mergeCell ref="D23:E23"/>
    <mergeCell ref="D24:E24"/>
    <mergeCell ref="D25:E25"/>
    <mergeCell ref="D26:E26"/>
    <mergeCell ref="D27:E27"/>
    <mergeCell ref="D16:E16"/>
    <mergeCell ref="D17:E17"/>
    <mergeCell ref="D18:E18"/>
    <mergeCell ref="D19:E19"/>
    <mergeCell ref="D20:E20"/>
    <mergeCell ref="D21:E21"/>
    <mergeCell ref="D10:E10"/>
    <mergeCell ref="D11:E11"/>
    <mergeCell ref="D12:E12"/>
    <mergeCell ref="D13:E13"/>
    <mergeCell ref="D14:E14"/>
    <mergeCell ref="D15:E15"/>
    <mergeCell ref="A6:B7"/>
    <mergeCell ref="C6:D7"/>
    <mergeCell ref="E6:E7"/>
    <mergeCell ref="F6:H7"/>
    <mergeCell ref="A8:B9"/>
    <mergeCell ref="C8:D9"/>
    <mergeCell ref="E8:E9"/>
    <mergeCell ref="F8:H9"/>
    <mergeCell ref="A1:H1"/>
    <mergeCell ref="A2:B3"/>
    <mergeCell ref="C2:D3"/>
    <mergeCell ref="E2:E3"/>
    <mergeCell ref="F2:H3"/>
    <mergeCell ref="A4:B5"/>
    <mergeCell ref="C4:D5"/>
    <mergeCell ref="E4:E5"/>
    <mergeCell ref="F4:H5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 rozpočtu</vt:lpstr>
      <vt:lpstr>Rozpočet - objekty</vt:lpstr>
      <vt:lpstr>Rozpočet - skupiny</vt:lpstr>
      <vt:lpstr>Rozpočet - podskupiny</vt:lpstr>
      <vt:lpstr>Stavební rozpočet</vt:lpstr>
      <vt:lpstr>Výkaz výměr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katka</cp:lastModifiedBy>
  <dcterms:created xsi:type="dcterms:W3CDTF">2021-04-12T16:30:28Z</dcterms:created>
  <dcterms:modified xsi:type="dcterms:W3CDTF">2021-04-12T16:30:28Z</dcterms:modified>
</cp:coreProperties>
</file>